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3.xml><?xml version="1.0" encoding="utf-8"?>
<comments xmlns="http://schemas.openxmlformats.org/spreadsheetml/2006/main">
  <authors>
    <author>Антонина</author>
  </authors>
  <commentList>
    <comment ref="K49" authorId="0">
      <text>
        <r>
          <rPr>
            <b/>
            <sz val="8"/>
            <rFont val="Tahoma"/>
            <family val="0"/>
          </rPr>
          <t>Антонина:</t>
        </r>
        <r>
          <rPr>
            <sz val="8"/>
            <rFont val="Tahoma"/>
            <family val="0"/>
          </rPr>
          <t xml:space="preserve">
объемы пока не менять из-за найма на кровли</t>
        </r>
      </text>
    </comment>
    <comment ref="H106" authorId="0">
      <text>
        <r>
          <rPr>
            <b/>
            <sz val="8"/>
            <rFont val="Tahoma"/>
            <family val="0"/>
          </rPr>
          <t>Антонина:</t>
        </r>
        <r>
          <rPr>
            <sz val="8"/>
            <rFont val="Tahoma"/>
            <family val="0"/>
          </rPr>
          <t xml:space="preserve">
Заводская 7/1 и 7/2 - найм 70837,92 и 83426,04</t>
        </r>
      </text>
    </comment>
  </commentList>
</comments>
</file>

<file path=xl/sharedStrings.xml><?xml version="1.0" encoding="utf-8"?>
<sst xmlns="http://schemas.openxmlformats.org/spreadsheetml/2006/main" count="567" uniqueCount="300">
  <si>
    <t>ПЛАН КАПИТАЛЬНОГО РЕМОНТА</t>
  </si>
  <si>
    <t xml:space="preserve"> жилищного фонда обслуживающего предприятия МУП ЖКХ "Сиверский" на 2008 год </t>
  </si>
  <si>
    <t xml:space="preserve">за счет средств населения </t>
  </si>
  <si>
    <t>№№ пп</t>
  </si>
  <si>
    <t>АДРЕС</t>
  </si>
  <si>
    <t>ПЛАН.СУММА</t>
  </si>
  <si>
    <t>ПЛАНИРУЕМЫЙ РЕМОНТ</t>
  </si>
  <si>
    <t>КАП.РЕМ.</t>
  </si>
  <si>
    <t>НАЕМ</t>
  </si>
  <si>
    <t>НАИМЕНОВАНИЕ</t>
  </si>
  <si>
    <t>ОБЪЕМ</t>
  </si>
  <si>
    <t>СУММА, РУБ.</t>
  </si>
  <si>
    <t xml:space="preserve"> Сиверское городское  поселение</t>
  </si>
  <si>
    <t xml:space="preserve"> Сиверсикй,    123 ДИВИЗИИ д.1</t>
  </si>
  <si>
    <t>ремонт козырьков</t>
  </si>
  <si>
    <t>9 шт</t>
  </si>
  <si>
    <t xml:space="preserve">межпан.швы </t>
  </si>
  <si>
    <t>430 п.м</t>
  </si>
  <si>
    <t xml:space="preserve"> Сиверсикй,  123 ДИВИЗИИ д.2</t>
  </si>
  <si>
    <t xml:space="preserve">кап.ремонт мягкой кровли  </t>
  </si>
  <si>
    <r>
      <t>965 м</t>
    </r>
    <r>
      <rPr>
        <b/>
        <sz val="10"/>
        <rFont val="Arial Cyr"/>
        <family val="0"/>
      </rPr>
      <t>²</t>
    </r>
  </si>
  <si>
    <t xml:space="preserve"> Сиверсикй,   123 ДИВИЗИИ д.4</t>
  </si>
  <si>
    <t>200 п.м</t>
  </si>
  <si>
    <t>р-т лестничной клетки</t>
  </si>
  <si>
    <t>1 шт</t>
  </si>
  <si>
    <t xml:space="preserve"> Сиверсикй,  123 ДИВИЗИИ д.6</t>
  </si>
  <si>
    <t>ремонт канализац.</t>
  </si>
  <si>
    <t>60 п.м</t>
  </si>
  <si>
    <t xml:space="preserve">  Сиверсикй, 123 ДИВИЗИИ д.8</t>
  </si>
  <si>
    <t>р-т внут.водостока</t>
  </si>
  <si>
    <t>2 шт</t>
  </si>
  <si>
    <t>кап.р-т отмостки</t>
  </si>
  <si>
    <t>70 п.м</t>
  </si>
  <si>
    <t xml:space="preserve"> Сиверсикй,  123 ДИВИЗИИ д.9</t>
  </si>
  <si>
    <t>ремонт плит балконов</t>
  </si>
  <si>
    <t>4 шт</t>
  </si>
  <si>
    <t xml:space="preserve">  67 КМ д.4</t>
  </si>
  <si>
    <t>эл.монтажн.работы:   ремонт ЩС</t>
  </si>
  <si>
    <t>1 шт.</t>
  </si>
  <si>
    <t xml:space="preserve">  67 КМ д.5</t>
  </si>
  <si>
    <t xml:space="preserve">  67 КМ д.6</t>
  </si>
  <si>
    <t>ремонт кровли</t>
  </si>
  <si>
    <r>
      <t>60 м</t>
    </r>
    <r>
      <rPr>
        <b/>
        <sz val="10"/>
        <rFont val="Arial Cyr"/>
        <family val="0"/>
      </rPr>
      <t>²</t>
    </r>
  </si>
  <si>
    <t xml:space="preserve">  67 КМ д.8</t>
  </si>
  <si>
    <t xml:space="preserve">  68 КМ д.1</t>
  </si>
  <si>
    <t xml:space="preserve"> Сиверсикй,  АВРОРЫ д.4</t>
  </si>
  <si>
    <t>ремонт крыльца</t>
  </si>
  <si>
    <t>Сиверсикй, АВРОРЫ д.10</t>
  </si>
  <si>
    <t>эл.монтажн.работы: ремонт ЩС</t>
  </si>
  <si>
    <t>Сиверсикй, АВРОРЫ д.21</t>
  </si>
  <si>
    <t xml:space="preserve"> Сиверсикй,  БЕЛОГОРСКОЕ д.13А</t>
  </si>
  <si>
    <t>замена входных дверей</t>
  </si>
  <si>
    <t>Сиверсикй,   БЕЛОГОРСКОЕ д.15А</t>
  </si>
  <si>
    <t>Сиверсикй,   БЕЛОГОРСКОЕ д.15б</t>
  </si>
  <si>
    <t>ремонт фундамента</t>
  </si>
  <si>
    <t>Сиверсикй,   ВИШНЕВСКОГО д.34</t>
  </si>
  <si>
    <t>эл.монтажн.работы:   замена кабеля</t>
  </si>
  <si>
    <t>20 п.м</t>
  </si>
  <si>
    <t>Сиверсикй,   ВИШНЕВСКОГО д.36</t>
  </si>
  <si>
    <t>10 п.м</t>
  </si>
  <si>
    <t>Сиверсикй, ВЛАДИМИРСКАЯ Д. 4</t>
  </si>
  <si>
    <t xml:space="preserve"> ВОЕННЫЙ ГОРОДОК д.26</t>
  </si>
  <si>
    <t xml:space="preserve">  ВОЕННЫЙ ГОРОДОК д.30</t>
  </si>
  <si>
    <t xml:space="preserve">  ВОЕННЫЙ ГОРОДОК д.31</t>
  </si>
  <si>
    <t xml:space="preserve">  ВОЕННЫЙ ГОРОДОК д.37</t>
  </si>
  <si>
    <t xml:space="preserve">межпанельные швы </t>
  </si>
  <si>
    <t>100 п.м</t>
  </si>
  <si>
    <t xml:space="preserve">  ВОЕННЫЙ ГОРОДОК д.38</t>
  </si>
  <si>
    <t>140 п.м</t>
  </si>
  <si>
    <t xml:space="preserve">  ВОЕННЫЙ ГОРОДОК д.40</t>
  </si>
  <si>
    <t>150 п.м</t>
  </si>
  <si>
    <t xml:space="preserve">  ВОЕННЫЙ ГОРОДОК д.41</t>
  </si>
  <si>
    <t>межпанельные швы</t>
  </si>
  <si>
    <t xml:space="preserve">  ВОЕННЫЙ ГОРОДОК д.42</t>
  </si>
  <si>
    <t>ремонт отмостки</t>
  </si>
  <si>
    <t>90 п.м</t>
  </si>
  <si>
    <t xml:space="preserve">  ВОЕННЫЙ ГОРОДОК д.43</t>
  </si>
  <si>
    <t xml:space="preserve">  ВОЕННЫЙ ГОРОДОК д.44</t>
  </si>
  <si>
    <t xml:space="preserve">  ВОЕННЫЙ ГОРОДОК д.46</t>
  </si>
  <si>
    <t>ремонт цоколя</t>
  </si>
  <si>
    <t xml:space="preserve">  ВОЕННЫЙ ГОРОДОК д.47</t>
  </si>
  <si>
    <t>75 п.м</t>
  </si>
  <si>
    <t xml:space="preserve">  ВОЕННЫЙ ГОРОДОК д.48</t>
  </si>
  <si>
    <t>220 п.м</t>
  </si>
  <si>
    <t xml:space="preserve">  ВОЕННЫЙ ГОРОДОК д.49</t>
  </si>
  <si>
    <t>ремонт сетей хвс</t>
  </si>
  <si>
    <t xml:space="preserve">  ВОЕННЫЙ ГОРОДОК д.50</t>
  </si>
  <si>
    <t xml:space="preserve">  ВОЕННЫЙ ГОРОДОК д.51</t>
  </si>
  <si>
    <t xml:space="preserve">  ВОЕННЫЙ ГОРОДОК д.52</t>
  </si>
  <si>
    <t xml:space="preserve">  ВОЕННЫЙ ГОРОДОК д.53</t>
  </si>
  <si>
    <t xml:space="preserve">  ВОЕННЫЙ ГОРОДОК д.54</t>
  </si>
  <si>
    <t xml:space="preserve">  ВОЕННЫЙ ГОРОДОК д.55</t>
  </si>
  <si>
    <t xml:space="preserve">  ВОЕННЫЙ ГОРОДОК д.56</t>
  </si>
  <si>
    <t xml:space="preserve">  ВОЕННЫЙ ГОРОДОК д.57</t>
  </si>
  <si>
    <t xml:space="preserve">  ВОЕННЫЙ ГОРОДОК д.58</t>
  </si>
  <si>
    <t xml:space="preserve">  ВОЕННЫЙ ГОРОДОК д.59</t>
  </si>
  <si>
    <t xml:space="preserve">  ВОЕННЫЙ ГОРОДОК д.60</t>
  </si>
  <si>
    <t xml:space="preserve">  ВОЕННЫЙ ГОРОДОК д.61</t>
  </si>
  <si>
    <t xml:space="preserve">  ВОЕННЫЙ ГОРОДОК д.63</t>
  </si>
  <si>
    <t xml:space="preserve">  ВОЕННЫЙ ГОРОДОК д.64</t>
  </si>
  <si>
    <t xml:space="preserve">  ВОЕННЫЙ ГОРОДОК д.65</t>
  </si>
  <si>
    <t xml:space="preserve">  ВОЕННЫЙ ГОРОДОК д.66</t>
  </si>
  <si>
    <t xml:space="preserve">  ВОЕННЫЙ ГОРОДОК д.67</t>
  </si>
  <si>
    <t xml:space="preserve">  ВОЕННЫЙ ГОРОДОК д.68</t>
  </si>
  <si>
    <t xml:space="preserve">  ВОЕННЫЙ ГОРОДОК д.69</t>
  </si>
  <si>
    <t xml:space="preserve">  ВОЕННЫЙ ГОРОДОК д.70</t>
  </si>
  <si>
    <t xml:space="preserve">  ВОЕННЫЙ ГОРОДОК д.71</t>
  </si>
  <si>
    <t xml:space="preserve">  ВОЕННЫЙ ГОРОДОК д.72</t>
  </si>
  <si>
    <t xml:space="preserve">  ВОЕННЫЙ ГОРОДОК д.73</t>
  </si>
  <si>
    <t xml:space="preserve">  ВОЕННЫЙ ГОРОДОК д.74</t>
  </si>
  <si>
    <t xml:space="preserve">  ВОЕННЫЙ ГОРОДОК д.75</t>
  </si>
  <si>
    <t xml:space="preserve">  ВОЕННЫЙ ГОРОДОК д.76</t>
  </si>
  <si>
    <t xml:space="preserve">  ВОЕННЫЙ ГОРОДОК д.77</t>
  </si>
  <si>
    <t>Сиверсикй,   ВОКЗАЛЬНАЯ д.4</t>
  </si>
  <si>
    <t>210 п.м</t>
  </si>
  <si>
    <t>Сиверсикй,   ВОКЗАЛЬНАЯ д.8</t>
  </si>
  <si>
    <t>смена покрытий парапетов, примыканий</t>
  </si>
  <si>
    <t>30 п.м</t>
  </si>
  <si>
    <t>Сиверсикй,   ВОКЗАЛЬНАЯ д.9</t>
  </si>
  <si>
    <t>р-т отмостки</t>
  </si>
  <si>
    <t>Сиверсикй,   ВОКЗАЛЬНАЯ д.10а</t>
  </si>
  <si>
    <t>эл.монтажн.работы:   ремонт ЩО</t>
  </si>
  <si>
    <t>3 шт.</t>
  </si>
  <si>
    <t xml:space="preserve"> Сиверсикй,  ГЕРОЕВ д.2</t>
  </si>
  <si>
    <t xml:space="preserve">межпанел. швы </t>
  </si>
  <si>
    <t>260 п.м</t>
  </si>
  <si>
    <t xml:space="preserve"> Сиверсикй,  ГЕРОЕВ д.4</t>
  </si>
  <si>
    <t xml:space="preserve">межпанел.швы </t>
  </si>
  <si>
    <t>230 п.м</t>
  </si>
  <si>
    <t>Сиверсикй,   ГЕРОЕВ д.6</t>
  </si>
  <si>
    <t xml:space="preserve"> Сиверсикй,  ГЕРОЕВ д.8</t>
  </si>
  <si>
    <t>6 шт</t>
  </si>
  <si>
    <t>Сиверсикй,   ГЕРЦЕНА Д.37</t>
  </si>
  <si>
    <t>эл.монтажн.работы:     ремонт ЩС; замена кабеля</t>
  </si>
  <si>
    <t>1 шт.; 10 п.м</t>
  </si>
  <si>
    <t xml:space="preserve"> Сиверсикй,  ГЕРЦЕНА Д.64</t>
  </si>
  <si>
    <t>1 шт.;  25 п.м</t>
  </si>
  <si>
    <t xml:space="preserve"> Сиверский,  ДОСТОЕВСКОГО д.15</t>
  </si>
  <si>
    <t>ремонт наружных водостоков</t>
  </si>
  <si>
    <t>80 п.м</t>
  </si>
  <si>
    <t>Сиверский, ДРУЖНОСЕЛЬСКАЯ д.4</t>
  </si>
  <si>
    <t>эл.монтажн.работы:   ремонт ЩС; замена кабеля</t>
  </si>
  <si>
    <t>1 шт.;  10 п.м</t>
  </si>
  <si>
    <t>Сиверсикй, ДРУЖНОСЕЛЬСКАЯ д.8</t>
  </si>
  <si>
    <t>Сиверсикй, ДРУЖНОСЕЛЬСКАЯ д.12</t>
  </si>
  <si>
    <t>ремонт туалета</t>
  </si>
  <si>
    <t>Сиверсикй, ЗАВОДСКАЯ д.3</t>
  </si>
  <si>
    <r>
      <t>70 м</t>
    </r>
    <r>
      <rPr>
        <b/>
        <sz val="10"/>
        <rFont val="Arial Cyr"/>
        <family val="0"/>
      </rPr>
      <t>²</t>
    </r>
  </si>
  <si>
    <t>Сиверсикй,   ЗАВОДСКАЯ д.8</t>
  </si>
  <si>
    <t>85 п.м</t>
  </si>
  <si>
    <t xml:space="preserve"> Сиверсикй,  ЗАВОДСКАЯ д.8а</t>
  </si>
  <si>
    <t xml:space="preserve"> Сиверсикй,  ЗАВОДСКАЯ д.8б</t>
  </si>
  <si>
    <t>Сиверсикй,   КИРОВА д.3</t>
  </si>
  <si>
    <t>40 п.м</t>
  </si>
  <si>
    <t>Сиверсикй,   КИРОВА д.5</t>
  </si>
  <si>
    <t>ремонт железной кровли</t>
  </si>
  <si>
    <r>
      <t>130 м</t>
    </r>
    <r>
      <rPr>
        <sz val="10"/>
        <rFont val="Arial Cyr"/>
        <family val="0"/>
      </rPr>
      <t>²</t>
    </r>
  </si>
  <si>
    <t>Сиверсикй, КОМСОМОЛЬСКИЙ д.1</t>
  </si>
  <si>
    <t>ремонт стены подъезда</t>
  </si>
  <si>
    <r>
      <t>20 м</t>
    </r>
    <r>
      <rPr>
        <sz val="10"/>
        <rFont val="Arial Cyr"/>
        <family val="0"/>
      </rPr>
      <t>²</t>
    </r>
  </si>
  <si>
    <t>Сиверсикй, КОМСОМОЛЬСКИЙ д.9</t>
  </si>
  <si>
    <t>Сиверсикй, КОМСОМОЛЬСКИЙ д.16</t>
  </si>
  <si>
    <t>ремонт ЩС</t>
  </si>
  <si>
    <t>Сиверсикй, КОМСОМОЛЬСКИЙ д.22</t>
  </si>
  <si>
    <t>Сиверсикй,    КРАМСКОЕ Д. 15</t>
  </si>
  <si>
    <t>12 п.м</t>
  </si>
  <si>
    <t>22 п.м</t>
  </si>
  <si>
    <t>Сиверсикй,   КРАСНАЯ д.21</t>
  </si>
  <si>
    <t>р-т выгребной ямы</t>
  </si>
  <si>
    <t>Сиверсикй,   КРАСНАЯ д.29</t>
  </si>
  <si>
    <t>Сиверсикй,   КРАСНАЯ д.35</t>
  </si>
  <si>
    <t>Сиверсикй,   КРАСНАЯ д.51</t>
  </si>
  <si>
    <t>Сиверсикй,   КРАСНАЯ д.57</t>
  </si>
  <si>
    <t xml:space="preserve"> Сиверсикй,  КУЙБЫШЕВА Д.21</t>
  </si>
  <si>
    <t>Сиверсикй,  ЛЕНИНА д.4</t>
  </si>
  <si>
    <t>Сиверсикй,   ЛЕНИНА д.25</t>
  </si>
  <si>
    <t>1 шт.;  20 п.м</t>
  </si>
  <si>
    <t>Сиверсикй,   ЛЕРМОНТОВА д.5</t>
  </si>
  <si>
    <t>эл.монтажн.работы: ремонт ЩС;   замена кабеля</t>
  </si>
  <si>
    <t>Сиверсикй, ЛЕРМОНТОВА д.30А</t>
  </si>
  <si>
    <t>эл.монтажн.работы:     ремонт ЩС</t>
  </si>
  <si>
    <t>Сиверсикй, Липовая ал. д.2</t>
  </si>
  <si>
    <t>Сиверсикй, Липовая ал. д.3</t>
  </si>
  <si>
    <t>р-т вхо.двери</t>
  </si>
  <si>
    <t>Сиверсикй, ЛИПОВАЯ АЛЛЕЯ д.6</t>
  </si>
  <si>
    <t>Сиверсикй, ЛИПОВАЯ АЛЛЕЯ д.8</t>
  </si>
  <si>
    <t>эл.монтажн.работы:  ремонт ЩС; замена кабеля</t>
  </si>
  <si>
    <t>Сиверсикй, ЛИПОВАЯ АЛЛЕЯ д.6а</t>
  </si>
  <si>
    <t>25 п.м</t>
  </si>
  <si>
    <t>Сиверсикй, МАРИНИНСКАЯ д.6</t>
  </si>
  <si>
    <t>Сиверсикй,   МТС д.8</t>
  </si>
  <si>
    <t>42 п.м</t>
  </si>
  <si>
    <t xml:space="preserve">  Сиверсикй, ПАРКЕТНАЯ д.14а</t>
  </si>
  <si>
    <t>эл.монтажн.работы:   ремонт ЩС;  замена кабеля</t>
  </si>
  <si>
    <t>1 шт.;  30 п.м</t>
  </si>
  <si>
    <t>Сиверсикй,   ПИОНЕРСКАЯ Д.8</t>
  </si>
  <si>
    <t>Сиверсикй,   ПИОНЕРСКАЯ д.10</t>
  </si>
  <si>
    <t>Сиверсикй,   ПИОНЕРСКАЯ д.12</t>
  </si>
  <si>
    <t>эл.монтажн.работы:     ремонт ЩС;  замена кабеля</t>
  </si>
  <si>
    <t>Сиверсикй, ПРОЛЕТАРСКИЙ Д.53</t>
  </si>
  <si>
    <t>Сиверсикй, РЕСПУБ-ЛИКАНСКИЙ д.78</t>
  </si>
  <si>
    <t>Сиверсикй,   РЕЧНАЯ д.63</t>
  </si>
  <si>
    <t xml:space="preserve"> Сиверсикй,  САШИ НИКИФОРОВАд.11</t>
  </si>
  <si>
    <t>Сиверсикй,   САШИ НИКИФОРОВАд.15</t>
  </si>
  <si>
    <r>
      <t>55 м</t>
    </r>
    <r>
      <rPr>
        <b/>
        <sz val="10"/>
        <rFont val="Arial Cyr"/>
        <family val="0"/>
      </rPr>
      <t>²</t>
    </r>
  </si>
  <si>
    <t>Сиверсикй,   СВЯЗИ д.4</t>
  </si>
  <si>
    <t>Сиверсикй,   СВЯЗИ д.5</t>
  </si>
  <si>
    <t>Сиверсикй,  СОВЕТСКАЯ д.1</t>
  </si>
  <si>
    <t>Сиверсикй,   СОВЕТСКАЯ д.15</t>
  </si>
  <si>
    <t>Сиверсикй,   СПОРТИВНАЯ Д.2</t>
  </si>
  <si>
    <t>Сиверсикй,   СТРОИТЕЛЕЙ д.4</t>
  </si>
  <si>
    <t>ремонт примыканий к вентканалам</t>
  </si>
  <si>
    <t>установка прибора учета тепловой энергии</t>
  </si>
  <si>
    <t>Сиверсикй,   СТРОИТЕЛЕЙ д.6</t>
  </si>
  <si>
    <t>Сиверсикй,   СТРОИТЕЛЕЙ д.8</t>
  </si>
  <si>
    <t>ремонт инж.сетей хвс</t>
  </si>
  <si>
    <t xml:space="preserve"> Сиверсикй,  СТРОИТЕЛЕЙ д.10</t>
  </si>
  <si>
    <t>300 п.м</t>
  </si>
  <si>
    <t>Сиверсикй,   СТРОИТЕЛЕЙ д.12</t>
  </si>
  <si>
    <t>Сиверсикй,   СТРОИТЕЛЕЙ д.16</t>
  </si>
  <si>
    <t>35 п.м</t>
  </si>
  <si>
    <t>Сиверсикй,   СТРОИТЕЛЕЙ д.20</t>
  </si>
  <si>
    <t xml:space="preserve"> Сиверсикй,  СТРОИТЕЛЕЙ д.24</t>
  </si>
  <si>
    <t>межпан.швы</t>
  </si>
  <si>
    <t xml:space="preserve"> 130 п.м</t>
  </si>
  <si>
    <t>плит крылец входов в подъезды</t>
  </si>
  <si>
    <t xml:space="preserve"> 4 шт.</t>
  </si>
  <si>
    <t>Сиверсикй,   СТРОИТЕЛЕЙ д.26</t>
  </si>
  <si>
    <r>
      <t>180 м</t>
    </r>
    <r>
      <rPr>
        <b/>
        <sz val="10"/>
        <rFont val="Arial Cyr"/>
        <family val="0"/>
      </rPr>
      <t>²</t>
    </r>
  </si>
  <si>
    <t>Сиверсикй,   ТОЛМАЧЕВА д.90</t>
  </si>
  <si>
    <t>Сиверсикй, ФЕДОРОВСКАЯ д.26</t>
  </si>
  <si>
    <t>Белогорка, ИНСТИТУТСКАЯ д.4</t>
  </si>
  <si>
    <t>2 шт.</t>
  </si>
  <si>
    <t>Белогорка, ИНСТИТУТСКАЯ д.6</t>
  </si>
  <si>
    <t>ремонт вентканалов</t>
  </si>
  <si>
    <t>Белогорка, ИНСТИТУТСКАЯ д.7</t>
  </si>
  <si>
    <t>Белогорка, ИНСТИТУТСКАЯ д.8</t>
  </si>
  <si>
    <t>Белогорка, ИНСТИТУТСКАЯ д.9</t>
  </si>
  <si>
    <t>Белогорка, ИНСТИТУТСКАЯ д.10</t>
  </si>
  <si>
    <t>120 п.м</t>
  </si>
  <si>
    <t>Белогорка, ИНСТИТУТСКАЯ д.11</t>
  </si>
  <si>
    <t>310 п.м</t>
  </si>
  <si>
    <t>Белорка, ИНСТИТУТСКАЯ д.12</t>
  </si>
  <si>
    <t>170 п.м</t>
  </si>
  <si>
    <t>Белогорка, ИНСТИТУТСКАЯ д.13</t>
  </si>
  <si>
    <t>130 п.м</t>
  </si>
  <si>
    <t>Белогорка, ИНСТИТУТСКАЯ д.14</t>
  </si>
  <si>
    <t>Белогорка, ИНСТИТУТСКАЯ д.15</t>
  </si>
  <si>
    <t>замена покрытий парапетов</t>
  </si>
  <si>
    <t>250 п.м</t>
  </si>
  <si>
    <t>р-т ливнестоков по подвалу</t>
  </si>
  <si>
    <t>6 шт.</t>
  </si>
  <si>
    <t>Белогорка, ИНСТИТУТСКАЯ д.16</t>
  </si>
  <si>
    <t>Белогорка, ИНСТИТУТСКАЯ д.17</t>
  </si>
  <si>
    <r>
      <t xml:space="preserve"> 220 м</t>
    </r>
    <r>
      <rPr>
        <b/>
        <sz val="10"/>
        <rFont val="Arial Cyr"/>
        <family val="0"/>
      </rPr>
      <t>²</t>
    </r>
  </si>
  <si>
    <t>Куровицы,  ВЫРИЦКИЙ ПР. д.77</t>
  </si>
  <si>
    <t>Куровицы, ВЫРИЦКИЙ ПР. д.79-а</t>
  </si>
  <si>
    <t>Куровицы, ВЫРИЦКИЙ ПР. д.79-б</t>
  </si>
  <si>
    <t>Куровицы, ВЫРИЦКИЙ ПР. д.83б</t>
  </si>
  <si>
    <r>
      <t>400 м</t>
    </r>
    <r>
      <rPr>
        <b/>
        <sz val="10"/>
        <rFont val="Arial Cyr"/>
        <family val="0"/>
      </rPr>
      <t>²</t>
    </r>
  </si>
  <si>
    <t>Куровицы,    ОГОРОДНАЯ д.1</t>
  </si>
  <si>
    <t>Куровицы,    ОГОРОДНАЯ д.2</t>
  </si>
  <si>
    <t>Куровицы,    ОГОРОДНАЯ д.7</t>
  </si>
  <si>
    <t>Куровицы,    ОГОРОДНАЯ д.10</t>
  </si>
  <si>
    <t>Куровицы,    ОГОРОДНАЯ д.15</t>
  </si>
  <si>
    <t>Куровицы,    ОГОРОДНАЯ д.16</t>
  </si>
  <si>
    <r>
      <t>952 м</t>
    </r>
    <r>
      <rPr>
        <b/>
        <sz val="10"/>
        <rFont val="Arial Cyr"/>
        <family val="0"/>
      </rPr>
      <t>²</t>
    </r>
  </si>
  <si>
    <t>Куровицы,    ОГОРОДНАЯ д.18</t>
  </si>
  <si>
    <t>45 п.м</t>
  </si>
  <si>
    <t>Куровицы, ОГОРОДНАЯ д.13-а</t>
  </si>
  <si>
    <t>50 п.м</t>
  </si>
  <si>
    <t>Куровицы,  ОГОРОДНАЯ д.18-а</t>
  </si>
  <si>
    <t xml:space="preserve"> Маргусы,  д.11</t>
  </si>
  <si>
    <t>Новосиверская,   ОГОРОДНАЯ д.32</t>
  </si>
  <si>
    <t>ремонт выгребной ямы</t>
  </si>
  <si>
    <t>Новосиверская,   ОГОРОДНАЯ д.61</t>
  </si>
  <si>
    <t>Новосиверская,   ОГОРОДНАЯ д.61а</t>
  </si>
  <si>
    <t xml:space="preserve"> Старосиверская, ТЕАТРАЛЬНАЯ д.2</t>
  </si>
  <si>
    <t xml:space="preserve"> Старосиверская, КЕЗЕВСКАЯ ДОРОГАд.64б</t>
  </si>
  <si>
    <t>Старосиверская, КЕЗЕВСКАЯ ДОРОГАд.64г</t>
  </si>
  <si>
    <t>Старосиверская, КЕЗЕВСКАЯ ДОРОГАд.64д</t>
  </si>
  <si>
    <t>Старосиверская, Большой проспект, 61</t>
  </si>
  <si>
    <t>ремонт примыканий к дымовым трубам</t>
  </si>
  <si>
    <t>Старосиверская, ШИРОКАЯ д.16</t>
  </si>
  <si>
    <t>Старосиверская, Школьная д.5а</t>
  </si>
  <si>
    <t>55 п.м</t>
  </si>
  <si>
    <t>В/г, дом 6</t>
  </si>
  <si>
    <t>1065 м²</t>
  </si>
  <si>
    <t>Инстрментальное обследование несущих конструкций</t>
  </si>
  <si>
    <t>В/г, дом 8</t>
  </si>
  <si>
    <t>В/г, дом 3</t>
  </si>
  <si>
    <t>ремонт кровли: примыкания, кирпич.кладка брандмауэров</t>
  </si>
  <si>
    <t>В/г, ж/д 4</t>
  </si>
  <si>
    <t>В/г, ж/д 7</t>
  </si>
  <si>
    <t>итого Сиверское г.п.:</t>
  </si>
  <si>
    <t>Сиверсикй,   КРАМСКОЕ Д. 55</t>
  </si>
  <si>
    <t>Утверждено</t>
  </si>
  <si>
    <t xml:space="preserve">Решением Совета депутатов </t>
  </si>
  <si>
    <t>Сиверского городского поселения</t>
  </si>
  <si>
    <t>№ 17 от "23"апреля 2008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</si>
</sst>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&quot;р.&quot;"/>
    <numFmt numFmtId="182" formatCode="#,##0.00&quot;р.&quot;"/>
  </numFmts>
  <fonts count="1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b/>
      <sz val="11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8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80" fontId="4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 readingOrder="1"/>
    </xf>
    <xf numFmtId="0" fontId="5" fillId="0" borderId="6" xfId="0" applyFont="1" applyBorder="1" applyAlignment="1">
      <alignment horizontal="left" vertical="center" wrapText="1" readingOrder="1"/>
    </xf>
    <xf numFmtId="0" fontId="5" fillId="0" borderId="0" xfId="0" applyFont="1" applyBorder="1" applyAlignment="1">
      <alignment horizontal="left" vertical="center" wrapText="1" readingOrder="1"/>
    </xf>
    <xf numFmtId="180" fontId="2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5" xfId="0" applyNumberFormat="1" applyFont="1" applyBorder="1" applyAlignment="1">
      <alignment horizontal="center" vertical="center" wrapText="1" readingOrder="1"/>
    </xf>
    <xf numFmtId="0" fontId="5" fillId="0" borderId="8" xfId="0" applyFont="1" applyBorder="1" applyAlignment="1">
      <alignment horizontal="left" vertical="center" wrapText="1" readingOrder="1"/>
    </xf>
    <xf numFmtId="180" fontId="2" fillId="0" borderId="9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 readingOrder="1"/>
    </xf>
    <xf numFmtId="180" fontId="7" fillId="0" borderId="10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180" fontId="7" fillId="0" borderId="5" xfId="0" applyNumberFormat="1" applyFont="1" applyBorder="1" applyAlignment="1">
      <alignment horizontal="center" vertical="center" wrapText="1" readingOrder="1"/>
    </xf>
    <xf numFmtId="18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readingOrder="1"/>
    </xf>
    <xf numFmtId="180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 readingOrder="1"/>
    </xf>
    <xf numFmtId="180" fontId="7" fillId="0" borderId="5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 readingOrder="1"/>
    </xf>
    <xf numFmtId="180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 readingOrder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 readingOrder="1"/>
    </xf>
    <xf numFmtId="18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readingOrder="1"/>
    </xf>
    <xf numFmtId="0" fontId="5" fillId="0" borderId="10" xfId="0" applyFont="1" applyBorder="1" applyAlignment="1">
      <alignment horizontal="left" vertical="center" wrapText="1" readingOrder="1"/>
    </xf>
    <xf numFmtId="0" fontId="5" fillId="0" borderId="9" xfId="0" applyFont="1" applyBorder="1" applyAlignment="1">
      <alignment horizontal="left" vertical="center" wrapText="1" readingOrder="1"/>
    </xf>
    <xf numFmtId="0" fontId="2" fillId="0" borderId="10" xfId="0" applyFont="1" applyFill="1" applyBorder="1" applyAlignment="1">
      <alignment horizontal="left" vertical="center" wrapText="1" readingOrder="1"/>
    </xf>
    <xf numFmtId="0" fontId="5" fillId="0" borderId="11" xfId="0" applyFont="1" applyBorder="1" applyAlignment="1">
      <alignment horizontal="left" vertical="top" wrapText="1" readingOrder="1"/>
    </xf>
    <xf numFmtId="0" fontId="5" fillId="0" borderId="12" xfId="0" applyFont="1" applyBorder="1" applyAlignment="1">
      <alignment horizontal="left" vertical="top" wrapText="1" readingOrder="1"/>
    </xf>
    <xf numFmtId="0" fontId="5" fillId="0" borderId="10" xfId="0" applyFont="1" applyFill="1" applyBorder="1" applyAlignment="1">
      <alignment horizontal="left" vertical="center" wrapText="1" readingOrder="1"/>
    </xf>
    <xf numFmtId="180" fontId="4" fillId="0" borderId="13" xfId="0" applyNumberFormat="1" applyFont="1" applyBorder="1" applyAlignment="1">
      <alignment horizontal="center" vertical="center" wrapText="1"/>
    </xf>
    <xf numFmtId="180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 readingOrder="1"/>
    </xf>
    <xf numFmtId="0" fontId="6" fillId="0" borderId="10" xfId="0" applyFont="1" applyBorder="1" applyAlignment="1">
      <alignment horizontal="left" vertical="center" wrapText="1" readingOrder="1"/>
    </xf>
    <xf numFmtId="0" fontId="6" fillId="0" borderId="9" xfId="0" applyFont="1" applyBorder="1" applyAlignment="1">
      <alignment horizontal="left" vertical="center" wrapText="1" readingOrder="1"/>
    </xf>
    <xf numFmtId="0" fontId="2" fillId="0" borderId="11" xfId="0" applyFont="1" applyBorder="1" applyAlignment="1">
      <alignment horizontal="left" vertical="center" wrapText="1" readingOrder="1"/>
    </xf>
    <xf numFmtId="0" fontId="7" fillId="0" borderId="11" xfId="0" applyFont="1" applyBorder="1" applyAlignment="1">
      <alignment horizontal="left" vertical="center" wrapText="1" readingOrder="1"/>
    </xf>
    <xf numFmtId="0" fontId="7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 readingOrder="1"/>
    </xf>
    <xf numFmtId="0" fontId="5" fillId="0" borderId="18" xfId="0" applyFont="1" applyBorder="1" applyAlignment="1">
      <alignment horizontal="left" vertical="center" wrapText="1" readingOrder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 readingOrder="1"/>
    </xf>
    <xf numFmtId="0" fontId="2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 readingOrder="1"/>
    </xf>
    <xf numFmtId="180" fontId="1" fillId="0" borderId="3" xfId="0" applyNumberFormat="1" applyFont="1" applyBorder="1" applyAlignment="1">
      <alignment horizontal="center" vertical="center" wrapText="1"/>
    </xf>
    <xf numFmtId="181" fontId="11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 readingOrder="1"/>
    </xf>
    <xf numFmtId="182" fontId="0" fillId="0" borderId="0" xfId="0" applyNumberFormat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180" fontId="2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readingOrder="1"/>
    </xf>
    <xf numFmtId="0" fontId="6" fillId="0" borderId="9" xfId="0" applyFont="1" applyBorder="1" applyAlignment="1">
      <alignment horizontal="left" vertical="center" wrapText="1" readingOrder="1"/>
    </xf>
    <xf numFmtId="180" fontId="7" fillId="0" borderId="10" xfId="0" applyNumberFormat="1" applyFont="1" applyBorder="1" applyAlignment="1">
      <alignment horizontal="center" vertical="center" wrapText="1"/>
    </xf>
    <xf numFmtId="180" fontId="7" fillId="0" borderId="9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 readingOrder="1"/>
    </xf>
    <xf numFmtId="180" fontId="7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 readingOrder="1"/>
    </xf>
    <xf numFmtId="0" fontId="5" fillId="0" borderId="0" xfId="0" applyFont="1" applyBorder="1" applyAlignment="1">
      <alignment horizontal="left" vertical="center" wrapText="1" readingOrder="1"/>
    </xf>
    <xf numFmtId="180" fontId="2" fillId="0" borderId="10" xfId="0" applyNumberFormat="1" applyFont="1" applyBorder="1" applyAlignment="1">
      <alignment horizontal="center" vertical="center" wrapText="1"/>
    </xf>
    <xf numFmtId="180" fontId="2" fillId="0" borderId="9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 readingOrder="1"/>
    </xf>
    <xf numFmtId="180" fontId="2" fillId="0" borderId="7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readingOrder="1"/>
    </xf>
    <xf numFmtId="0" fontId="5" fillId="0" borderId="9" xfId="0" applyFont="1" applyBorder="1" applyAlignment="1">
      <alignment horizontal="left" vertical="center" wrapText="1" readingOrder="1"/>
    </xf>
    <xf numFmtId="0" fontId="2" fillId="0" borderId="10" xfId="0" applyFont="1" applyBorder="1" applyAlignment="1">
      <alignment horizontal="center" vertical="center" wrapText="1" readingOrder="1"/>
    </xf>
    <xf numFmtId="0" fontId="2" fillId="0" borderId="9" xfId="0" applyFont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left" vertical="center" wrapText="1" readingOrder="1"/>
    </xf>
    <xf numFmtId="0" fontId="5" fillId="0" borderId="9" xfId="0" applyFont="1" applyFill="1" applyBorder="1" applyAlignment="1">
      <alignment horizontal="left" vertical="center" wrapText="1" readingOrder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 readingOrder="1"/>
    </xf>
    <xf numFmtId="0" fontId="5" fillId="0" borderId="6" xfId="0" applyFont="1" applyFill="1" applyBorder="1" applyAlignment="1">
      <alignment horizontal="left" vertical="center" wrapText="1" readingOrder="1"/>
    </xf>
    <xf numFmtId="0" fontId="5" fillId="0" borderId="8" xfId="0" applyFont="1" applyFill="1" applyBorder="1" applyAlignment="1">
      <alignment horizontal="left" vertical="center" wrapText="1" readingOrder="1"/>
    </xf>
    <xf numFmtId="0" fontId="3" fillId="0" borderId="2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2"/>
  <sheetViews>
    <sheetView tabSelected="1" workbookViewId="0" topLeftCell="H1">
      <selection activeCell="I5" sqref="I5:K5"/>
    </sheetView>
  </sheetViews>
  <sheetFormatPr defaultColWidth="9.140625" defaultRowHeight="12.75"/>
  <cols>
    <col min="1" max="1" width="6.140625" style="0" customWidth="1"/>
    <col min="2" max="2" width="46.28125" style="0" customWidth="1"/>
    <col min="3" max="6" width="0" style="0" hidden="1" customWidth="1"/>
    <col min="7" max="7" width="12.57421875" style="0" customWidth="1"/>
    <col min="8" max="8" width="13.28125" style="0" customWidth="1"/>
    <col min="9" max="9" width="32.7109375" style="0" customWidth="1"/>
    <col min="10" max="10" width="11.00390625" style="0" customWidth="1"/>
    <col min="11" max="11" width="15.7109375" style="0" customWidth="1"/>
  </cols>
  <sheetData>
    <row r="1" spans="1:11" ht="15.75">
      <c r="A1" s="75"/>
      <c r="B1" s="75"/>
      <c r="C1" s="75"/>
      <c r="D1" s="75"/>
      <c r="E1" s="75"/>
      <c r="F1" s="75"/>
      <c r="G1" s="75"/>
      <c r="H1" s="75"/>
      <c r="I1" s="75" t="s">
        <v>296</v>
      </c>
      <c r="J1" s="75"/>
      <c r="K1" s="75"/>
    </row>
    <row r="2" spans="1:11" ht="15.75">
      <c r="A2" s="75"/>
      <c r="B2" s="75"/>
      <c r="C2" s="75"/>
      <c r="D2" s="75"/>
      <c r="E2" s="75"/>
      <c r="F2" s="75"/>
      <c r="G2" s="75"/>
      <c r="H2" s="75"/>
      <c r="I2" s="75" t="s">
        <v>297</v>
      </c>
      <c r="J2" s="75"/>
      <c r="K2" s="75"/>
    </row>
    <row r="3" spans="1:11" ht="15.75">
      <c r="A3" s="75"/>
      <c r="B3" s="75"/>
      <c r="C3" s="75"/>
      <c r="D3" s="75"/>
      <c r="E3" s="75"/>
      <c r="F3" s="75"/>
      <c r="G3" s="75"/>
      <c r="H3" s="75"/>
      <c r="I3" s="75" t="s">
        <v>298</v>
      </c>
      <c r="J3" s="75"/>
      <c r="K3" s="75"/>
    </row>
    <row r="4" spans="1:11" ht="15.75">
      <c r="A4" s="1"/>
      <c r="B4" s="1"/>
      <c r="C4" s="1"/>
      <c r="D4" s="1"/>
      <c r="E4" s="1"/>
      <c r="F4" s="1"/>
      <c r="G4" s="1"/>
      <c r="H4" s="1"/>
      <c r="I4" s="75" t="s">
        <v>299</v>
      </c>
      <c r="J4" s="75"/>
      <c r="K4" s="75"/>
    </row>
    <row r="5" spans="1:11" ht="12.75">
      <c r="A5" s="52"/>
      <c r="B5" s="52"/>
      <c r="C5" s="52"/>
      <c r="D5" s="52"/>
      <c r="E5" s="52"/>
      <c r="F5" s="52"/>
      <c r="G5" s="52"/>
      <c r="H5" s="2"/>
      <c r="I5" s="52"/>
      <c r="J5" s="52"/>
      <c r="K5" s="52"/>
    </row>
    <row r="6" spans="1:11" ht="18.75">
      <c r="A6" s="2"/>
      <c r="B6" s="74" t="s">
        <v>0</v>
      </c>
      <c r="C6" s="74"/>
      <c r="D6" s="74"/>
      <c r="E6" s="74"/>
      <c r="F6" s="74"/>
      <c r="G6" s="74"/>
      <c r="H6" s="74"/>
      <c r="I6" s="74"/>
      <c r="J6" s="74"/>
      <c r="K6" s="74"/>
    </row>
    <row r="7" spans="1:11" ht="15.75">
      <c r="A7" s="75" t="s">
        <v>1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15.75">
      <c r="A8" s="75" t="s">
        <v>2</v>
      </c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1" ht="13.5" thickBot="1">
      <c r="A9" s="2"/>
      <c r="B9" s="3"/>
      <c r="C9" s="3"/>
      <c r="D9" s="3"/>
      <c r="E9" s="3"/>
      <c r="F9" s="3"/>
      <c r="G9" s="4"/>
      <c r="H9" s="4"/>
      <c r="I9" s="5"/>
      <c r="J9" s="2"/>
      <c r="K9" s="4"/>
    </row>
    <row r="10" spans="1:11" ht="13.5" thickBot="1">
      <c r="A10" s="76" t="s">
        <v>3</v>
      </c>
      <c r="B10" s="78" t="s">
        <v>4</v>
      </c>
      <c r="C10" s="6"/>
      <c r="D10" s="6"/>
      <c r="E10" s="6"/>
      <c r="F10" s="6"/>
      <c r="G10" s="47" t="s">
        <v>5</v>
      </c>
      <c r="H10" s="48"/>
      <c r="I10" s="49" t="s">
        <v>6</v>
      </c>
      <c r="J10" s="50"/>
      <c r="K10" s="51"/>
    </row>
    <row r="11" spans="1:11" ht="13.5" thickBot="1">
      <c r="A11" s="77"/>
      <c r="B11" s="79"/>
      <c r="C11" s="7"/>
      <c r="D11" s="7"/>
      <c r="E11" s="7"/>
      <c r="F11" s="7"/>
      <c r="G11" s="8" t="s">
        <v>7</v>
      </c>
      <c r="H11" s="8" t="s">
        <v>8</v>
      </c>
      <c r="I11" s="9" t="s">
        <v>9</v>
      </c>
      <c r="J11" s="9" t="s">
        <v>10</v>
      </c>
      <c r="K11" s="10" t="s">
        <v>11</v>
      </c>
    </row>
    <row r="12" spans="1:11" ht="19.5" thickBot="1">
      <c r="A12" s="110" t="s">
        <v>12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12.75">
      <c r="A13" s="107">
        <v>1</v>
      </c>
      <c r="B13" s="93" t="s">
        <v>13</v>
      </c>
      <c r="C13" s="13"/>
      <c r="D13" s="13"/>
      <c r="E13" s="13"/>
      <c r="F13" s="13"/>
      <c r="G13" s="73">
        <f>214338.72*0.8</f>
        <v>171470.97600000002</v>
      </c>
      <c r="H13" s="14">
        <v>0</v>
      </c>
      <c r="I13" s="15" t="s">
        <v>14</v>
      </c>
      <c r="J13" s="16" t="s">
        <v>15</v>
      </c>
      <c r="K13" s="17">
        <f>(G13+H13)/2</f>
        <v>85735.48800000001</v>
      </c>
    </row>
    <row r="14" spans="1:11" ht="12.75">
      <c r="A14" s="107"/>
      <c r="B14" s="97"/>
      <c r="C14" s="18"/>
      <c r="D14" s="18"/>
      <c r="E14" s="18"/>
      <c r="F14" s="18"/>
      <c r="G14" s="96"/>
      <c r="H14" s="19"/>
      <c r="I14" s="15" t="s">
        <v>16</v>
      </c>
      <c r="J14" s="16" t="s">
        <v>17</v>
      </c>
      <c r="K14" s="17">
        <f>K13</f>
        <v>85735.48800000001</v>
      </c>
    </row>
    <row r="15" spans="1:11" ht="12.75">
      <c r="A15" s="11">
        <v>2</v>
      </c>
      <c r="B15" s="20" t="s">
        <v>18</v>
      </c>
      <c r="C15" s="20"/>
      <c r="D15" s="20"/>
      <c r="E15" s="20"/>
      <c r="F15" s="20"/>
      <c r="G15" s="21">
        <f>193909.08*0.8</f>
        <v>155127.264</v>
      </c>
      <c r="H15" s="21">
        <f>K15-G15</f>
        <v>515261.73600000003</v>
      </c>
      <c r="I15" s="22" t="s">
        <v>19</v>
      </c>
      <c r="J15" s="23" t="s">
        <v>20</v>
      </c>
      <c r="K15" s="24">
        <f>650000-39611+60000</f>
        <v>670389</v>
      </c>
    </row>
    <row r="16" spans="1:11" ht="12.75">
      <c r="A16" s="107">
        <v>3</v>
      </c>
      <c r="B16" s="93" t="s">
        <v>21</v>
      </c>
      <c r="C16" s="12"/>
      <c r="D16" s="12"/>
      <c r="E16" s="12"/>
      <c r="F16" s="12"/>
      <c r="G16" s="95">
        <f>102816.6*0.8</f>
        <v>82253.28000000001</v>
      </c>
      <c r="H16" s="25">
        <v>0</v>
      </c>
      <c r="I16" s="15" t="s">
        <v>16</v>
      </c>
      <c r="J16" s="16" t="s">
        <v>22</v>
      </c>
      <c r="K16" s="17">
        <f>(G16+H16)/2</f>
        <v>41126.64000000001</v>
      </c>
    </row>
    <row r="17" spans="1:11" ht="12.75">
      <c r="A17" s="107"/>
      <c r="B17" s="94"/>
      <c r="C17" s="13"/>
      <c r="D17" s="13"/>
      <c r="E17" s="13"/>
      <c r="F17" s="13"/>
      <c r="G17" s="96"/>
      <c r="H17" s="19"/>
      <c r="I17" s="15" t="s">
        <v>23</v>
      </c>
      <c r="J17" s="16" t="s">
        <v>24</v>
      </c>
      <c r="K17" s="17">
        <f>K16</f>
        <v>41126.64000000001</v>
      </c>
    </row>
    <row r="18" spans="1:11" ht="12.75">
      <c r="A18" s="107">
        <v>4</v>
      </c>
      <c r="B18" s="93" t="s">
        <v>25</v>
      </c>
      <c r="C18" s="12"/>
      <c r="D18" s="12"/>
      <c r="E18" s="12"/>
      <c r="F18" s="12"/>
      <c r="G18" s="95">
        <f>102417.96*0.8</f>
        <v>81934.36800000002</v>
      </c>
      <c r="H18" s="25">
        <v>0</v>
      </c>
      <c r="I18" s="15" t="s">
        <v>16</v>
      </c>
      <c r="J18" s="16" t="s">
        <v>22</v>
      </c>
      <c r="K18" s="17">
        <f>(G18+H18)/2</f>
        <v>40967.18400000001</v>
      </c>
    </row>
    <row r="19" spans="1:11" ht="12.75">
      <c r="A19" s="107"/>
      <c r="B19" s="94"/>
      <c r="C19" s="13"/>
      <c r="D19" s="13"/>
      <c r="E19" s="13"/>
      <c r="F19" s="13"/>
      <c r="G19" s="96"/>
      <c r="H19" s="19"/>
      <c r="I19" s="15" t="s">
        <v>26</v>
      </c>
      <c r="J19" s="16" t="s">
        <v>27</v>
      </c>
      <c r="K19" s="17">
        <f>K18</f>
        <v>40967.18400000001</v>
      </c>
    </row>
    <row r="20" spans="1:11" ht="12.75">
      <c r="A20" s="107">
        <v>5</v>
      </c>
      <c r="B20" s="93" t="s">
        <v>28</v>
      </c>
      <c r="C20" s="12"/>
      <c r="D20" s="12"/>
      <c r="E20" s="12"/>
      <c r="F20" s="12"/>
      <c r="G20" s="95">
        <f>75175.32*0.8</f>
        <v>60140.25600000001</v>
      </c>
      <c r="H20" s="25">
        <v>0</v>
      </c>
      <c r="I20" s="15" t="s">
        <v>29</v>
      </c>
      <c r="J20" s="16" t="s">
        <v>30</v>
      </c>
      <c r="K20" s="17">
        <f>(G20+H20)/2-5000</f>
        <v>25070.128000000004</v>
      </c>
    </row>
    <row r="21" spans="1:11" ht="12.75">
      <c r="A21" s="107"/>
      <c r="B21" s="97"/>
      <c r="C21" s="18"/>
      <c r="D21" s="18"/>
      <c r="E21" s="18"/>
      <c r="F21" s="18"/>
      <c r="G21" s="96"/>
      <c r="H21" s="19"/>
      <c r="I21" s="15" t="s">
        <v>31</v>
      </c>
      <c r="J21" s="16" t="s">
        <v>32</v>
      </c>
      <c r="K21" s="17">
        <f>K20+10000</f>
        <v>35070.128000000004</v>
      </c>
    </row>
    <row r="22" spans="1:11" ht="12.75">
      <c r="A22" s="11">
        <v>6</v>
      </c>
      <c r="B22" s="12" t="s">
        <v>33</v>
      </c>
      <c r="C22" s="12"/>
      <c r="D22" s="12"/>
      <c r="E22" s="12"/>
      <c r="F22" s="12"/>
      <c r="G22" s="25">
        <f>70755.84*0.8</f>
        <v>56604.672</v>
      </c>
      <c r="H22" s="25">
        <v>0</v>
      </c>
      <c r="I22" s="15" t="s">
        <v>34</v>
      </c>
      <c r="J22" s="26" t="s">
        <v>35</v>
      </c>
      <c r="K22" s="17">
        <f>G22+H22</f>
        <v>56604.672</v>
      </c>
    </row>
    <row r="23" spans="1:11" ht="25.5">
      <c r="A23" s="11">
        <v>7</v>
      </c>
      <c r="B23" s="27" t="s">
        <v>36</v>
      </c>
      <c r="C23" s="27"/>
      <c r="D23" s="27"/>
      <c r="E23" s="27"/>
      <c r="F23" s="27"/>
      <c r="G23" s="28">
        <f>3930*0.8</f>
        <v>3144</v>
      </c>
      <c r="H23" s="28">
        <v>0</v>
      </c>
      <c r="I23" s="29" t="s">
        <v>37</v>
      </c>
      <c r="J23" s="16" t="s">
        <v>38</v>
      </c>
      <c r="K23" s="17">
        <f aca="true" t="shared" si="0" ref="K23:K39">G23+H23</f>
        <v>3144</v>
      </c>
    </row>
    <row r="24" spans="1:11" ht="25.5">
      <c r="A24" s="11">
        <v>8</v>
      </c>
      <c r="B24" s="27" t="s">
        <v>39</v>
      </c>
      <c r="C24" s="27"/>
      <c r="D24" s="27"/>
      <c r="E24" s="27"/>
      <c r="F24" s="27"/>
      <c r="G24" s="28">
        <f>6504.84*0.8</f>
        <v>5203.872</v>
      </c>
      <c r="H24" s="28">
        <v>0</v>
      </c>
      <c r="I24" s="29" t="s">
        <v>37</v>
      </c>
      <c r="J24" s="16" t="s">
        <v>38</v>
      </c>
      <c r="K24" s="17">
        <f t="shared" si="0"/>
        <v>5203.872</v>
      </c>
    </row>
    <row r="25" spans="1:11" ht="12.75">
      <c r="A25" s="11">
        <v>9</v>
      </c>
      <c r="B25" s="30" t="s">
        <v>40</v>
      </c>
      <c r="C25" s="30"/>
      <c r="D25" s="30"/>
      <c r="E25" s="30"/>
      <c r="F25" s="30"/>
      <c r="G25" s="31">
        <f>10837.08*0.8</f>
        <v>8669.664</v>
      </c>
      <c r="H25" s="31">
        <f>7389.84*0.97+468+27004+5292</f>
        <v>39932.1448</v>
      </c>
      <c r="I25" s="22" t="s">
        <v>41</v>
      </c>
      <c r="J25" s="23" t="s">
        <v>42</v>
      </c>
      <c r="K25" s="24">
        <f t="shared" si="0"/>
        <v>48601.8088</v>
      </c>
    </row>
    <row r="26" spans="1:11" ht="12.75">
      <c r="A26" s="11">
        <v>10</v>
      </c>
      <c r="B26" s="27" t="s">
        <v>43</v>
      </c>
      <c r="C26" s="27"/>
      <c r="D26" s="27"/>
      <c r="E26" s="27"/>
      <c r="F26" s="27"/>
      <c r="G26" s="28">
        <f>7064.16*0.8</f>
        <v>5651.328</v>
      </c>
      <c r="H26" s="28">
        <v>0</v>
      </c>
      <c r="I26" s="15" t="s">
        <v>23</v>
      </c>
      <c r="J26" s="16" t="s">
        <v>38</v>
      </c>
      <c r="K26" s="17">
        <f t="shared" si="0"/>
        <v>5651.328</v>
      </c>
    </row>
    <row r="27" spans="1:11" ht="25.5">
      <c r="A27" s="11">
        <v>11</v>
      </c>
      <c r="B27" s="27" t="s">
        <v>44</v>
      </c>
      <c r="C27" s="27"/>
      <c r="D27" s="27"/>
      <c r="E27" s="27"/>
      <c r="F27" s="27"/>
      <c r="G27" s="28">
        <f>1249.44*0.8</f>
        <v>999.5520000000001</v>
      </c>
      <c r="H27" s="28">
        <v>0</v>
      </c>
      <c r="I27" s="29" t="s">
        <v>37</v>
      </c>
      <c r="J27" s="16" t="s">
        <v>24</v>
      </c>
      <c r="K27" s="17">
        <f t="shared" si="0"/>
        <v>999.5520000000001</v>
      </c>
    </row>
    <row r="28" spans="1:11" ht="12.75">
      <c r="A28" s="11">
        <v>12</v>
      </c>
      <c r="B28" s="27" t="s">
        <v>45</v>
      </c>
      <c r="C28" s="27"/>
      <c r="D28" s="27"/>
      <c r="E28" s="27"/>
      <c r="F28" s="27"/>
      <c r="G28" s="28">
        <f>7034.4*0.8</f>
        <v>5627.52</v>
      </c>
      <c r="H28" s="28">
        <v>0</v>
      </c>
      <c r="I28" s="29" t="s">
        <v>46</v>
      </c>
      <c r="J28" s="16" t="s">
        <v>38</v>
      </c>
      <c r="K28" s="17">
        <f t="shared" si="0"/>
        <v>5627.52</v>
      </c>
    </row>
    <row r="29" spans="1:11" ht="25.5">
      <c r="A29" s="11">
        <v>13</v>
      </c>
      <c r="B29" s="27" t="s">
        <v>47</v>
      </c>
      <c r="C29" s="27"/>
      <c r="D29" s="27"/>
      <c r="E29" s="27"/>
      <c r="F29" s="27"/>
      <c r="G29" s="28">
        <f>1211.04*0.8</f>
        <v>968.832</v>
      </c>
      <c r="H29" s="28">
        <v>0</v>
      </c>
      <c r="I29" s="29" t="s">
        <v>48</v>
      </c>
      <c r="J29" s="16" t="s">
        <v>24</v>
      </c>
      <c r="K29" s="17">
        <f t="shared" si="0"/>
        <v>968.832</v>
      </c>
    </row>
    <row r="30" spans="1:11" ht="25.5">
      <c r="A30" s="11">
        <v>14</v>
      </c>
      <c r="B30" s="27" t="s">
        <v>49</v>
      </c>
      <c r="C30" s="27"/>
      <c r="D30" s="27"/>
      <c r="E30" s="27"/>
      <c r="F30" s="27"/>
      <c r="G30" s="28">
        <f>2852.76*0.8</f>
        <v>2282.208</v>
      </c>
      <c r="H30" s="28">
        <v>0</v>
      </c>
      <c r="I30" s="29" t="s">
        <v>37</v>
      </c>
      <c r="J30" s="16" t="s">
        <v>24</v>
      </c>
      <c r="K30" s="17">
        <f t="shared" si="0"/>
        <v>2282.208</v>
      </c>
    </row>
    <row r="31" spans="1:11" ht="12.75">
      <c r="A31" s="11">
        <v>15</v>
      </c>
      <c r="B31" s="27" t="s">
        <v>50</v>
      </c>
      <c r="C31" s="27"/>
      <c r="D31" s="27"/>
      <c r="E31" s="27"/>
      <c r="F31" s="27"/>
      <c r="G31" s="28">
        <f>9582.84*0.8</f>
        <v>7666.272000000001</v>
      </c>
      <c r="H31" s="28">
        <v>0</v>
      </c>
      <c r="I31" s="15" t="s">
        <v>51</v>
      </c>
      <c r="J31" s="16" t="s">
        <v>24</v>
      </c>
      <c r="K31" s="17">
        <f t="shared" si="0"/>
        <v>7666.272000000001</v>
      </c>
    </row>
    <row r="32" spans="1:11" ht="25.5">
      <c r="A32" s="11">
        <v>16</v>
      </c>
      <c r="B32" s="27" t="s">
        <v>52</v>
      </c>
      <c r="C32" s="27"/>
      <c r="D32" s="27"/>
      <c r="E32" s="27"/>
      <c r="F32" s="27"/>
      <c r="G32" s="28">
        <f>1461*0.8</f>
        <v>1168.8</v>
      </c>
      <c r="H32" s="28">
        <v>0</v>
      </c>
      <c r="I32" s="15" t="s">
        <v>48</v>
      </c>
      <c r="J32" s="16" t="s">
        <v>24</v>
      </c>
      <c r="K32" s="17">
        <f t="shared" si="0"/>
        <v>1168.8</v>
      </c>
    </row>
    <row r="33" spans="1:11" ht="12.75">
      <c r="A33" s="11">
        <v>17</v>
      </c>
      <c r="B33" s="27" t="s">
        <v>53</v>
      </c>
      <c r="C33" s="27"/>
      <c r="D33" s="27"/>
      <c r="E33" s="27"/>
      <c r="F33" s="27"/>
      <c r="G33" s="28">
        <f>9982.68*0.8</f>
        <v>7986.144</v>
      </c>
      <c r="H33" s="28">
        <v>0</v>
      </c>
      <c r="I33" s="15" t="s">
        <v>54</v>
      </c>
      <c r="J33" s="16" t="s">
        <v>24</v>
      </c>
      <c r="K33" s="17">
        <f t="shared" si="0"/>
        <v>7986.144</v>
      </c>
    </row>
    <row r="34" spans="1:11" ht="25.5">
      <c r="A34" s="11">
        <v>18</v>
      </c>
      <c r="B34" s="27" t="s">
        <v>55</v>
      </c>
      <c r="C34" s="27"/>
      <c r="D34" s="27"/>
      <c r="E34" s="27"/>
      <c r="F34" s="27"/>
      <c r="G34" s="28">
        <f>4415.88*0.8</f>
        <v>3532.704</v>
      </c>
      <c r="H34" s="28">
        <v>0</v>
      </c>
      <c r="I34" s="29" t="s">
        <v>56</v>
      </c>
      <c r="J34" s="16" t="s">
        <v>57</v>
      </c>
      <c r="K34" s="17">
        <f t="shared" si="0"/>
        <v>3532.704</v>
      </c>
    </row>
    <row r="35" spans="1:11" ht="25.5">
      <c r="A35" s="11">
        <v>19</v>
      </c>
      <c r="B35" s="27" t="s">
        <v>58</v>
      </c>
      <c r="C35" s="27"/>
      <c r="D35" s="27"/>
      <c r="E35" s="27"/>
      <c r="F35" s="27"/>
      <c r="G35" s="28">
        <f>1906.08*0.8</f>
        <v>1524.864</v>
      </c>
      <c r="H35" s="28">
        <v>0</v>
      </c>
      <c r="I35" s="29" t="s">
        <v>56</v>
      </c>
      <c r="J35" s="16" t="s">
        <v>59</v>
      </c>
      <c r="K35" s="17">
        <f t="shared" si="0"/>
        <v>1524.864</v>
      </c>
    </row>
    <row r="36" spans="1:11" ht="25.5">
      <c r="A36" s="11">
        <v>20</v>
      </c>
      <c r="B36" s="27" t="s">
        <v>60</v>
      </c>
      <c r="C36" s="27"/>
      <c r="D36" s="27"/>
      <c r="E36" s="27"/>
      <c r="F36" s="27"/>
      <c r="G36" s="28">
        <f>1243.92*0.8</f>
        <v>995.1360000000001</v>
      </c>
      <c r="H36" s="28">
        <v>0</v>
      </c>
      <c r="I36" s="29" t="s">
        <v>37</v>
      </c>
      <c r="J36" s="16" t="s">
        <v>38</v>
      </c>
      <c r="K36" s="17">
        <f t="shared" si="0"/>
        <v>995.1360000000001</v>
      </c>
    </row>
    <row r="37" spans="1:11" ht="25.5">
      <c r="A37" s="11">
        <v>21</v>
      </c>
      <c r="B37" s="32" t="s">
        <v>61</v>
      </c>
      <c r="C37" s="32"/>
      <c r="D37" s="32"/>
      <c r="E37" s="32"/>
      <c r="F37" s="32"/>
      <c r="G37" s="33">
        <f>2934.36*0.8</f>
        <v>2347.4880000000003</v>
      </c>
      <c r="H37" s="33">
        <v>0</v>
      </c>
      <c r="I37" s="29" t="s">
        <v>37</v>
      </c>
      <c r="J37" s="34" t="s">
        <v>24</v>
      </c>
      <c r="K37" s="17">
        <f t="shared" si="0"/>
        <v>2347.4880000000003</v>
      </c>
    </row>
    <row r="38" spans="1:11" ht="25.5">
      <c r="A38" s="11">
        <v>22</v>
      </c>
      <c r="B38" s="27" t="s">
        <v>62</v>
      </c>
      <c r="C38" s="27"/>
      <c r="D38" s="27"/>
      <c r="E38" s="27"/>
      <c r="F38" s="27"/>
      <c r="G38" s="28">
        <f>1440.48*0.8</f>
        <v>1152.384</v>
      </c>
      <c r="H38" s="28">
        <v>0</v>
      </c>
      <c r="I38" s="29" t="s">
        <v>37</v>
      </c>
      <c r="J38" s="16" t="s">
        <v>38</v>
      </c>
      <c r="K38" s="17">
        <f t="shared" si="0"/>
        <v>1152.384</v>
      </c>
    </row>
    <row r="39" spans="1:11" ht="12.75">
      <c r="A39" s="11">
        <v>23</v>
      </c>
      <c r="B39" s="12" t="s">
        <v>63</v>
      </c>
      <c r="C39" s="12"/>
      <c r="D39" s="12"/>
      <c r="E39" s="12"/>
      <c r="F39" s="12"/>
      <c r="G39" s="25">
        <f>70635.96*0.8</f>
        <v>56508.76800000001</v>
      </c>
      <c r="H39" s="25">
        <v>0</v>
      </c>
      <c r="I39" s="15" t="s">
        <v>23</v>
      </c>
      <c r="J39" s="16" t="s">
        <v>30</v>
      </c>
      <c r="K39" s="17">
        <f t="shared" si="0"/>
        <v>56508.76800000001</v>
      </c>
    </row>
    <row r="40" spans="1:11" ht="12.75">
      <c r="A40" s="107">
        <v>24</v>
      </c>
      <c r="B40" s="93" t="s">
        <v>64</v>
      </c>
      <c r="C40" s="12"/>
      <c r="D40" s="12"/>
      <c r="E40" s="12"/>
      <c r="F40" s="12"/>
      <c r="G40" s="95">
        <f>52119*0.8</f>
        <v>41695.200000000004</v>
      </c>
      <c r="H40" s="25">
        <v>0</v>
      </c>
      <c r="I40" s="15" t="s">
        <v>65</v>
      </c>
      <c r="J40" s="16" t="s">
        <v>66</v>
      </c>
      <c r="K40" s="17">
        <f>(G40+H40)/2</f>
        <v>20847.600000000002</v>
      </c>
    </row>
    <row r="41" spans="1:11" ht="12.75">
      <c r="A41" s="107"/>
      <c r="B41" s="97"/>
      <c r="C41" s="18"/>
      <c r="D41" s="18"/>
      <c r="E41" s="18"/>
      <c r="F41" s="18"/>
      <c r="G41" s="96"/>
      <c r="H41" s="19"/>
      <c r="I41" s="15" t="s">
        <v>23</v>
      </c>
      <c r="J41" s="16" t="s">
        <v>24</v>
      </c>
      <c r="K41" s="17">
        <f>K40</f>
        <v>20847.600000000002</v>
      </c>
    </row>
    <row r="42" spans="1:11" ht="12.75">
      <c r="A42" s="107">
        <v>25</v>
      </c>
      <c r="B42" s="93" t="s">
        <v>67</v>
      </c>
      <c r="C42" s="12"/>
      <c r="D42" s="12"/>
      <c r="E42" s="12"/>
      <c r="F42" s="12"/>
      <c r="G42" s="95">
        <f>68636.88*0.8</f>
        <v>54909.50400000001</v>
      </c>
      <c r="H42" s="25">
        <v>0</v>
      </c>
      <c r="I42" s="15" t="s">
        <v>65</v>
      </c>
      <c r="J42" s="16" t="s">
        <v>68</v>
      </c>
      <c r="K42" s="17">
        <f>(G42+H42)/2</f>
        <v>27454.752000000004</v>
      </c>
    </row>
    <row r="43" spans="1:11" ht="12.75">
      <c r="A43" s="107"/>
      <c r="B43" s="94"/>
      <c r="C43" s="13"/>
      <c r="D43" s="13"/>
      <c r="E43" s="13"/>
      <c r="F43" s="13"/>
      <c r="G43" s="96"/>
      <c r="H43" s="19"/>
      <c r="I43" s="15" t="s">
        <v>23</v>
      </c>
      <c r="J43" s="16" t="s">
        <v>24</v>
      </c>
      <c r="K43" s="17">
        <f>K42</f>
        <v>27454.752000000004</v>
      </c>
    </row>
    <row r="44" spans="1:11" ht="12.75">
      <c r="A44" s="107">
        <v>26</v>
      </c>
      <c r="B44" s="93" t="s">
        <v>69</v>
      </c>
      <c r="C44" s="12"/>
      <c r="D44" s="12"/>
      <c r="E44" s="12"/>
      <c r="F44" s="12"/>
      <c r="G44" s="95">
        <f>77454.72*0.8</f>
        <v>61963.776000000005</v>
      </c>
      <c r="H44" s="25">
        <v>0</v>
      </c>
      <c r="I44" s="15" t="s">
        <v>65</v>
      </c>
      <c r="J44" s="16" t="s">
        <v>70</v>
      </c>
      <c r="K44" s="17">
        <f>(G44+H44)/2</f>
        <v>30981.888000000003</v>
      </c>
    </row>
    <row r="45" spans="1:11" ht="12.75">
      <c r="A45" s="107"/>
      <c r="B45" s="97"/>
      <c r="C45" s="18"/>
      <c r="D45" s="18"/>
      <c r="E45" s="18"/>
      <c r="F45" s="18"/>
      <c r="G45" s="96"/>
      <c r="H45" s="19"/>
      <c r="I45" s="15" t="s">
        <v>23</v>
      </c>
      <c r="J45" s="16" t="s">
        <v>24</v>
      </c>
      <c r="K45" s="17">
        <f>K44</f>
        <v>30981.888000000003</v>
      </c>
    </row>
    <row r="46" spans="1:11" ht="12.75">
      <c r="A46" s="107">
        <v>27</v>
      </c>
      <c r="B46" s="93" t="s">
        <v>71</v>
      </c>
      <c r="C46" s="12"/>
      <c r="D46" s="12"/>
      <c r="E46" s="12"/>
      <c r="F46" s="12"/>
      <c r="G46" s="95">
        <f>71621.28*0.8</f>
        <v>57297.024000000005</v>
      </c>
      <c r="H46" s="25">
        <v>0</v>
      </c>
      <c r="I46" s="15" t="s">
        <v>72</v>
      </c>
      <c r="J46" s="16" t="s">
        <v>68</v>
      </c>
      <c r="K46" s="17">
        <f>(G46+H46)/2</f>
        <v>28648.512000000002</v>
      </c>
    </row>
    <row r="47" spans="1:11" ht="12.75">
      <c r="A47" s="107"/>
      <c r="B47" s="94"/>
      <c r="C47" s="13"/>
      <c r="D47" s="13"/>
      <c r="E47" s="13"/>
      <c r="F47" s="13"/>
      <c r="G47" s="98"/>
      <c r="H47" s="14"/>
      <c r="I47" s="15" t="s">
        <v>23</v>
      </c>
      <c r="J47" s="16" t="s">
        <v>24</v>
      </c>
      <c r="K47" s="17">
        <f>K46</f>
        <v>28648.512000000002</v>
      </c>
    </row>
    <row r="48" spans="1:11" ht="12.75">
      <c r="A48" s="107">
        <v>28</v>
      </c>
      <c r="B48" s="93" t="s">
        <v>73</v>
      </c>
      <c r="C48" s="12"/>
      <c r="D48" s="12"/>
      <c r="E48" s="12"/>
      <c r="F48" s="12"/>
      <c r="G48" s="95">
        <f>82659.84*0.8</f>
        <v>66127.872</v>
      </c>
      <c r="H48" s="25">
        <v>0</v>
      </c>
      <c r="I48" s="15" t="s">
        <v>74</v>
      </c>
      <c r="J48" s="16" t="s">
        <v>75</v>
      </c>
      <c r="K48" s="17">
        <f>(G48+H48)/2</f>
        <v>33063.936</v>
      </c>
    </row>
    <row r="49" spans="1:11" ht="12.75">
      <c r="A49" s="107"/>
      <c r="B49" s="94"/>
      <c r="C49" s="13"/>
      <c r="D49" s="13"/>
      <c r="E49" s="13"/>
      <c r="F49" s="13"/>
      <c r="G49" s="96"/>
      <c r="H49" s="19"/>
      <c r="I49" s="15" t="s">
        <v>23</v>
      </c>
      <c r="J49" s="16" t="s">
        <v>24</v>
      </c>
      <c r="K49" s="17">
        <f>K48</f>
        <v>33063.936</v>
      </c>
    </row>
    <row r="50" spans="1:11" ht="12.75">
      <c r="A50" s="107">
        <v>29</v>
      </c>
      <c r="B50" s="93" t="s">
        <v>76</v>
      </c>
      <c r="C50" s="12"/>
      <c r="D50" s="12"/>
      <c r="E50" s="12"/>
      <c r="F50" s="12"/>
      <c r="G50" s="95">
        <f>75414.84*0.8</f>
        <v>60331.872</v>
      </c>
      <c r="H50" s="25">
        <v>0</v>
      </c>
      <c r="I50" s="15" t="s">
        <v>65</v>
      </c>
      <c r="J50" s="16" t="s">
        <v>70</v>
      </c>
      <c r="K50" s="17">
        <f>(G50+H50)/2</f>
        <v>30165.936</v>
      </c>
    </row>
    <row r="51" spans="1:11" ht="12.75">
      <c r="A51" s="107"/>
      <c r="B51" s="97"/>
      <c r="C51" s="18"/>
      <c r="D51" s="18"/>
      <c r="E51" s="18"/>
      <c r="F51" s="18"/>
      <c r="G51" s="96"/>
      <c r="H51" s="19"/>
      <c r="I51" s="15" t="s">
        <v>23</v>
      </c>
      <c r="J51" s="16" t="s">
        <v>24</v>
      </c>
      <c r="K51" s="17">
        <f>K50</f>
        <v>30165.936</v>
      </c>
    </row>
    <row r="52" spans="1:11" ht="12.75">
      <c r="A52" s="107">
        <v>30</v>
      </c>
      <c r="B52" s="93" t="s">
        <v>77</v>
      </c>
      <c r="C52" s="12"/>
      <c r="D52" s="12"/>
      <c r="E52" s="12"/>
      <c r="F52" s="12"/>
      <c r="G52" s="95">
        <f>53992.08*0.8</f>
        <v>43193.664000000004</v>
      </c>
      <c r="H52" s="25">
        <v>0</v>
      </c>
      <c r="I52" s="15" t="s">
        <v>74</v>
      </c>
      <c r="J52" s="16" t="s">
        <v>27</v>
      </c>
      <c r="K52" s="17">
        <f>(G52+H52)/2</f>
        <v>21596.832000000002</v>
      </c>
    </row>
    <row r="53" spans="1:11" ht="12.75">
      <c r="A53" s="107"/>
      <c r="B53" s="97"/>
      <c r="C53" s="18"/>
      <c r="D53" s="18"/>
      <c r="E53" s="18"/>
      <c r="F53" s="18"/>
      <c r="G53" s="96"/>
      <c r="H53" s="19"/>
      <c r="I53" s="15" t="s">
        <v>23</v>
      </c>
      <c r="J53" s="16" t="s">
        <v>24</v>
      </c>
      <c r="K53" s="17">
        <f>K52</f>
        <v>21596.832000000002</v>
      </c>
    </row>
    <row r="54" spans="1:11" ht="12.75">
      <c r="A54" s="11">
        <v>31</v>
      </c>
      <c r="B54" s="27" t="s">
        <v>78</v>
      </c>
      <c r="C54" s="27"/>
      <c r="D54" s="27"/>
      <c r="E54" s="27"/>
      <c r="F54" s="27"/>
      <c r="G54" s="28">
        <f>15015.24*0.8</f>
        <v>12012.192000000001</v>
      </c>
      <c r="H54" s="28">
        <v>0</v>
      </c>
      <c r="I54" s="15" t="s">
        <v>79</v>
      </c>
      <c r="J54" s="16" t="s">
        <v>32</v>
      </c>
      <c r="K54" s="17">
        <f>(G54+H54)/2</f>
        <v>6006.0960000000005</v>
      </c>
    </row>
    <row r="55" spans="1:11" ht="12.75">
      <c r="A55" s="11">
        <v>32</v>
      </c>
      <c r="B55" s="12" t="s">
        <v>80</v>
      </c>
      <c r="C55" s="12"/>
      <c r="D55" s="12"/>
      <c r="E55" s="12"/>
      <c r="F55" s="12"/>
      <c r="G55" s="25">
        <f>5991.36*0.8</f>
        <v>4793.088</v>
      </c>
      <c r="H55" s="25">
        <v>0</v>
      </c>
      <c r="I55" s="15" t="s">
        <v>79</v>
      </c>
      <c r="J55" s="16" t="s">
        <v>81</v>
      </c>
      <c r="K55" s="17">
        <f>(G55+H55)/2</f>
        <v>2396.544</v>
      </c>
    </row>
    <row r="56" spans="1:11" ht="12.75">
      <c r="A56" s="107">
        <v>33</v>
      </c>
      <c r="B56" s="108" t="s">
        <v>82</v>
      </c>
      <c r="C56" s="35"/>
      <c r="D56" s="35"/>
      <c r="E56" s="35"/>
      <c r="F56" s="35"/>
      <c r="G56" s="105">
        <f>113162.88*0.8</f>
        <v>90530.304</v>
      </c>
      <c r="H56" s="36">
        <v>0</v>
      </c>
      <c r="I56" s="37" t="s">
        <v>65</v>
      </c>
      <c r="J56" s="34" t="s">
        <v>83</v>
      </c>
      <c r="K56" s="17">
        <f>(G56+H56)/2</f>
        <v>45265.152</v>
      </c>
    </row>
    <row r="57" spans="1:11" ht="12.75">
      <c r="A57" s="107"/>
      <c r="B57" s="109"/>
      <c r="C57" s="38"/>
      <c r="D57" s="38"/>
      <c r="E57" s="38"/>
      <c r="F57" s="38"/>
      <c r="G57" s="106"/>
      <c r="H57" s="39"/>
      <c r="I57" s="37" t="s">
        <v>23</v>
      </c>
      <c r="J57" s="34" t="s">
        <v>30</v>
      </c>
      <c r="K57" s="17">
        <f>K56</f>
        <v>45265.152</v>
      </c>
    </row>
    <row r="58" spans="1:11" ht="12.75">
      <c r="A58" s="11">
        <v>34</v>
      </c>
      <c r="B58" s="27" t="s">
        <v>84</v>
      </c>
      <c r="C58" s="27"/>
      <c r="D58" s="27"/>
      <c r="E58" s="27"/>
      <c r="F58" s="27"/>
      <c r="G58" s="28">
        <f>19719.48*0.8</f>
        <v>15775.584</v>
      </c>
      <c r="H58" s="28">
        <v>0</v>
      </c>
      <c r="I58" s="15" t="s">
        <v>85</v>
      </c>
      <c r="J58" s="16"/>
      <c r="K58" s="17">
        <f>G58+H58</f>
        <v>15775.584</v>
      </c>
    </row>
    <row r="59" spans="1:11" ht="12.75">
      <c r="A59" s="11">
        <v>35</v>
      </c>
      <c r="B59" s="27" t="s">
        <v>86</v>
      </c>
      <c r="C59" s="27"/>
      <c r="D59" s="27"/>
      <c r="E59" s="27"/>
      <c r="F59" s="27"/>
      <c r="G59" s="28">
        <f>3549.48*0.8</f>
        <v>2839.5840000000003</v>
      </c>
      <c r="H59" s="28">
        <v>0</v>
      </c>
      <c r="I59" s="15" t="s">
        <v>85</v>
      </c>
      <c r="J59" s="16"/>
      <c r="K59" s="17">
        <f aca="true" t="shared" si="1" ref="K59:K85">G59+H59</f>
        <v>2839.5840000000003</v>
      </c>
    </row>
    <row r="60" spans="1:11" ht="12.75">
      <c r="A60" s="11">
        <v>36</v>
      </c>
      <c r="B60" s="27" t="s">
        <v>87</v>
      </c>
      <c r="C60" s="27"/>
      <c r="D60" s="27"/>
      <c r="E60" s="27"/>
      <c r="F60" s="27"/>
      <c r="G60" s="28">
        <f>6013.68*0.8</f>
        <v>4810.944</v>
      </c>
      <c r="H60" s="28">
        <v>0</v>
      </c>
      <c r="I60" s="15" t="s">
        <v>85</v>
      </c>
      <c r="J60" s="16"/>
      <c r="K60" s="17">
        <f t="shared" si="1"/>
        <v>4810.944</v>
      </c>
    </row>
    <row r="61" spans="1:11" ht="12.75">
      <c r="A61" s="11">
        <v>37</v>
      </c>
      <c r="B61" s="27" t="s">
        <v>88</v>
      </c>
      <c r="C61" s="27"/>
      <c r="D61" s="27"/>
      <c r="E61" s="27"/>
      <c r="F61" s="27"/>
      <c r="G61" s="28">
        <f>13735.32*0.8</f>
        <v>10988.256000000001</v>
      </c>
      <c r="H61" s="28">
        <v>0</v>
      </c>
      <c r="I61" s="15" t="s">
        <v>85</v>
      </c>
      <c r="J61" s="16"/>
      <c r="K61" s="17">
        <f t="shared" si="1"/>
        <v>10988.256000000001</v>
      </c>
    </row>
    <row r="62" spans="1:11" ht="12.75">
      <c r="A62" s="11">
        <v>38</v>
      </c>
      <c r="B62" s="27" t="s">
        <v>89</v>
      </c>
      <c r="C62" s="27"/>
      <c r="D62" s="27"/>
      <c r="E62" s="27"/>
      <c r="F62" s="27"/>
      <c r="G62" s="28">
        <f>6661.68*0.8</f>
        <v>5329.344000000001</v>
      </c>
      <c r="H62" s="28">
        <v>0</v>
      </c>
      <c r="I62" s="15" t="s">
        <v>85</v>
      </c>
      <c r="J62" s="16"/>
      <c r="K62" s="17">
        <f t="shared" si="1"/>
        <v>5329.344000000001</v>
      </c>
    </row>
    <row r="63" spans="1:11" ht="12.75">
      <c r="A63" s="11">
        <v>39</v>
      </c>
      <c r="B63" s="27" t="s">
        <v>90</v>
      </c>
      <c r="C63" s="27"/>
      <c r="D63" s="27"/>
      <c r="E63" s="27"/>
      <c r="F63" s="27"/>
      <c r="G63" s="28">
        <f>17338.92*0.8</f>
        <v>13871.135999999999</v>
      </c>
      <c r="H63" s="28">
        <f>0</f>
        <v>0</v>
      </c>
      <c r="I63" s="15" t="s">
        <v>85</v>
      </c>
      <c r="J63" s="16"/>
      <c r="K63" s="17">
        <f t="shared" si="1"/>
        <v>13871.135999999999</v>
      </c>
    </row>
    <row r="64" spans="1:11" ht="12.75">
      <c r="A64" s="11">
        <v>40</v>
      </c>
      <c r="B64" s="27" t="s">
        <v>91</v>
      </c>
      <c r="C64" s="27"/>
      <c r="D64" s="27"/>
      <c r="E64" s="27"/>
      <c r="F64" s="27"/>
      <c r="G64" s="28">
        <f>2406.72*0.8</f>
        <v>1925.376</v>
      </c>
      <c r="H64" s="28">
        <v>0</v>
      </c>
      <c r="I64" s="15" t="s">
        <v>85</v>
      </c>
      <c r="J64" s="16"/>
      <c r="K64" s="17">
        <f t="shared" si="1"/>
        <v>1925.376</v>
      </c>
    </row>
    <row r="65" spans="1:11" ht="12.75">
      <c r="A65" s="11">
        <v>41</v>
      </c>
      <c r="B65" s="27" t="s">
        <v>92</v>
      </c>
      <c r="C65" s="27"/>
      <c r="D65" s="27"/>
      <c r="E65" s="27"/>
      <c r="F65" s="27"/>
      <c r="G65" s="28">
        <f>13163.76*0.8</f>
        <v>10531.008000000002</v>
      </c>
      <c r="H65" s="28">
        <v>0</v>
      </c>
      <c r="I65" s="15" t="s">
        <v>85</v>
      </c>
      <c r="J65" s="16"/>
      <c r="K65" s="17">
        <f t="shared" si="1"/>
        <v>10531.008000000002</v>
      </c>
    </row>
    <row r="66" spans="1:11" ht="12.75">
      <c r="A66" s="11">
        <v>42</v>
      </c>
      <c r="B66" s="27" t="s">
        <v>93</v>
      </c>
      <c r="C66" s="27"/>
      <c r="D66" s="27"/>
      <c r="E66" s="27"/>
      <c r="F66" s="27"/>
      <c r="G66" s="28">
        <f>6598.84*0.8</f>
        <v>5279.072</v>
      </c>
      <c r="H66" s="28">
        <v>0</v>
      </c>
      <c r="I66" s="15" t="s">
        <v>85</v>
      </c>
      <c r="J66" s="16"/>
      <c r="K66" s="17">
        <f t="shared" si="1"/>
        <v>5279.072</v>
      </c>
    </row>
    <row r="67" spans="1:11" ht="12.75">
      <c r="A67" s="11">
        <v>43</v>
      </c>
      <c r="B67" s="27" t="s">
        <v>94</v>
      </c>
      <c r="C67" s="27"/>
      <c r="D67" s="27"/>
      <c r="E67" s="27"/>
      <c r="F67" s="27"/>
      <c r="G67" s="28">
        <f>17448*0.8</f>
        <v>13958.400000000001</v>
      </c>
      <c r="H67" s="28">
        <v>0</v>
      </c>
      <c r="I67" s="15" t="s">
        <v>85</v>
      </c>
      <c r="J67" s="16"/>
      <c r="K67" s="17">
        <f t="shared" si="1"/>
        <v>13958.400000000001</v>
      </c>
    </row>
    <row r="68" spans="1:11" ht="12.75">
      <c r="A68" s="11">
        <v>44</v>
      </c>
      <c r="B68" s="27" t="s">
        <v>95</v>
      </c>
      <c r="C68" s="27"/>
      <c r="D68" s="27"/>
      <c r="E68" s="27"/>
      <c r="F68" s="27"/>
      <c r="G68" s="28">
        <f>3575.04*0.8</f>
        <v>2860.032</v>
      </c>
      <c r="H68" s="28">
        <v>0</v>
      </c>
      <c r="I68" s="15" t="s">
        <v>85</v>
      </c>
      <c r="J68" s="16"/>
      <c r="K68" s="17">
        <f t="shared" si="1"/>
        <v>2860.032</v>
      </c>
    </row>
    <row r="69" spans="1:11" ht="12.75">
      <c r="A69" s="11">
        <v>45</v>
      </c>
      <c r="B69" s="27" t="s">
        <v>96</v>
      </c>
      <c r="C69" s="27"/>
      <c r="D69" s="27"/>
      <c r="E69" s="27"/>
      <c r="F69" s="27"/>
      <c r="G69" s="28">
        <f>10737.84*0.8</f>
        <v>8590.272</v>
      </c>
      <c r="H69" s="28">
        <v>0</v>
      </c>
      <c r="I69" s="15" t="s">
        <v>23</v>
      </c>
      <c r="J69" s="16" t="s">
        <v>30</v>
      </c>
      <c r="K69" s="17">
        <f t="shared" si="1"/>
        <v>8590.272</v>
      </c>
    </row>
    <row r="70" spans="1:11" ht="12.75">
      <c r="A70" s="11">
        <v>46</v>
      </c>
      <c r="B70" s="27" t="s">
        <v>97</v>
      </c>
      <c r="C70" s="27"/>
      <c r="D70" s="27"/>
      <c r="E70" s="27"/>
      <c r="F70" s="27"/>
      <c r="G70" s="28">
        <f>7731*0.8</f>
        <v>6184.8</v>
      </c>
      <c r="H70" s="28">
        <v>0</v>
      </c>
      <c r="I70" s="15" t="s">
        <v>85</v>
      </c>
      <c r="J70" s="16"/>
      <c r="K70" s="17">
        <f t="shared" si="1"/>
        <v>6184.8</v>
      </c>
    </row>
    <row r="71" spans="1:11" ht="12.75">
      <c r="A71" s="11">
        <v>47</v>
      </c>
      <c r="B71" s="27" t="s">
        <v>98</v>
      </c>
      <c r="C71" s="27"/>
      <c r="D71" s="27"/>
      <c r="E71" s="27"/>
      <c r="F71" s="27"/>
      <c r="G71" s="28">
        <f>9007.8*0.8</f>
        <v>7206.24</v>
      </c>
      <c r="H71" s="28">
        <v>0</v>
      </c>
      <c r="I71" s="15" t="s">
        <v>85</v>
      </c>
      <c r="J71" s="16"/>
      <c r="K71" s="17">
        <f t="shared" si="1"/>
        <v>7206.24</v>
      </c>
    </row>
    <row r="72" spans="1:11" ht="12.75">
      <c r="A72" s="11">
        <v>48</v>
      </c>
      <c r="B72" s="27" t="s">
        <v>99</v>
      </c>
      <c r="C72" s="27"/>
      <c r="D72" s="27"/>
      <c r="E72" s="27"/>
      <c r="F72" s="27"/>
      <c r="G72" s="28">
        <f>13119.12*0.8</f>
        <v>10495.296000000002</v>
      </c>
      <c r="H72" s="28">
        <v>0</v>
      </c>
      <c r="I72" s="15" t="s">
        <v>85</v>
      </c>
      <c r="J72" s="16"/>
      <c r="K72" s="17">
        <f t="shared" si="1"/>
        <v>10495.296000000002</v>
      </c>
    </row>
    <row r="73" spans="1:11" ht="12.75">
      <c r="A73" s="11">
        <v>49</v>
      </c>
      <c r="B73" s="27" t="s">
        <v>100</v>
      </c>
      <c r="C73" s="27"/>
      <c r="D73" s="27"/>
      <c r="E73" s="27"/>
      <c r="F73" s="27"/>
      <c r="G73" s="28">
        <f>3616.56*0.8</f>
        <v>2893.248</v>
      </c>
      <c r="H73" s="28">
        <v>0</v>
      </c>
      <c r="I73" s="15" t="s">
        <v>85</v>
      </c>
      <c r="J73" s="16"/>
      <c r="K73" s="17">
        <f t="shared" si="1"/>
        <v>2893.248</v>
      </c>
    </row>
    <row r="74" spans="1:11" ht="12.75">
      <c r="A74" s="11">
        <v>50</v>
      </c>
      <c r="B74" s="27" t="s">
        <v>101</v>
      </c>
      <c r="C74" s="27"/>
      <c r="D74" s="27"/>
      <c r="E74" s="27"/>
      <c r="F74" s="27"/>
      <c r="G74" s="28">
        <f>21485.52*0.8</f>
        <v>17188.416</v>
      </c>
      <c r="H74" s="28">
        <v>0</v>
      </c>
      <c r="I74" s="15" t="s">
        <v>85</v>
      </c>
      <c r="J74" s="16"/>
      <c r="K74" s="17">
        <f t="shared" si="1"/>
        <v>17188.416</v>
      </c>
    </row>
    <row r="75" spans="1:11" ht="12.75">
      <c r="A75" s="11">
        <v>51</v>
      </c>
      <c r="B75" s="27" t="s">
        <v>102</v>
      </c>
      <c r="C75" s="27"/>
      <c r="D75" s="27"/>
      <c r="E75" s="27"/>
      <c r="F75" s="27"/>
      <c r="G75" s="28">
        <f>1774.8*0.8</f>
        <v>1419.8400000000001</v>
      </c>
      <c r="H75" s="28">
        <v>0</v>
      </c>
      <c r="I75" s="15" t="s">
        <v>85</v>
      </c>
      <c r="J75" s="16"/>
      <c r="K75" s="17">
        <f t="shared" si="1"/>
        <v>1419.8400000000001</v>
      </c>
    </row>
    <row r="76" spans="1:11" ht="12.75">
      <c r="A76" s="11">
        <v>52</v>
      </c>
      <c r="B76" s="27" t="s">
        <v>103</v>
      </c>
      <c r="C76" s="27"/>
      <c r="D76" s="27"/>
      <c r="E76" s="27"/>
      <c r="F76" s="27"/>
      <c r="G76" s="28">
        <f>15471.6*0.8</f>
        <v>12377.28</v>
      </c>
      <c r="H76" s="28">
        <v>0</v>
      </c>
      <c r="I76" s="15" t="s">
        <v>85</v>
      </c>
      <c r="J76" s="16"/>
      <c r="K76" s="17">
        <f t="shared" si="1"/>
        <v>12377.28</v>
      </c>
    </row>
    <row r="77" spans="1:11" ht="12.75">
      <c r="A77" s="11">
        <v>53</v>
      </c>
      <c r="B77" s="27" t="s">
        <v>104</v>
      </c>
      <c r="C77" s="27"/>
      <c r="D77" s="27"/>
      <c r="E77" s="27"/>
      <c r="F77" s="27"/>
      <c r="G77" s="28">
        <f>6862.8*0.8</f>
        <v>5490.240000000001</v>
      </c>
      <c r="H77" s="28">
        <v>0</v>
      </c>
      <c r="I77" s="15" t="s">
        <v>85</v>
      </c>
      <c r="J77" s="16"/>
      <c r="K77" s="17">
        <f t="shared" si="1"/>
        <v>5490.240000000001</v>
      </c>
    </row>
    <row r="78" spans="1:11" ht="12.75">
      <c r="A78" s="11">
        <v>54</v>
      </c>
      <c r="B78" s="27" t="s">
        <v>105</v>
      </c>
      <c r="C78" s="27"/>
      <c r="D78" s="27"/>
      <c r="E78" s="27"/>
      <c r="F78" s="27"/>
      <c r="G78" s="28">
        <f>13431.48*0.8</f>
        <v>10745.184000000001</v>
      </c>
      <c r="H78" s="28">
        <v>0</v>
      </c>
      <c r="I78" s="15" t="s">
        <v>85</v>
      </c>
      <c r="J78" s="16"/>
      <c r="K78" s="17">
        <f t="shared" si="1"/>
        <v>10745.184000000001</v>
      </c>
    </row>
    <row r="79" spans="1:11" ht="12.75">
      <c r="A79" s="11">
        <v>55</v>
      </c>
      <c r="B79" s="27" t="s">
        <v>106</v>
      </c>
      <c r="C79" s="27"/>
      <c r="D79" s="27"/>
      <c r="E79" s="27"/>
      <c r="F79" s="27"/>
      <c r="G79" s="28">
        <f>4874.16*0.8</f>
        <v>3899.328</v>
      </c>
      <c r="H79" s="28">
        <v>0</v>
      </c>
      <c r="I79" s="15" t="s">
        <v>85</v>
      </c>
      <c r="J79" s="16"/>
      <c r="K79" s="17">
        <f t="shared" si="1"/>
        <v>3899.328</v>
      </c>
    </row>
    <row r="80" spans="1:11" ht="12.75">
      <c r="A80" s="11">
        <v>56</v>
      </c>
      <c r="B80" s="27" t="s">
        <v>107</v>
      </c>
      <c r="C80" s="27"/>
      <c r="D80" s="27"/>
      <c r="E80" s="27"/>
      <c r="F80" s="27"/>
      <c r="G80" s="28">
        <f>4191.12*0.8</f>
        <v>3352.896</v>
      </c>
      <c r="H80" s="28">
        <v>0</v>
      </c>
      <c r="I80" s="15" t="s">
        <v>85</v>
      </c>
      <c r="J80" s="16"/>
      <c r="K80" s="17">
        <f t="shared" si="1"/>
        <v>3352.896</v>
      </c>
    </row>
    <row r="81" spans="1:11" ht="12.75">
      <c r="A81" s="11">
        <v>57</v>
      </c>
      <c r="B81" s="27" t="s">
        <v>108</v>
      </c>
      <c r="C81" s="27"/>
      <c r="D81" s="27"/>
      <c r="E81" s="27"/>
      <c r="F81" s="27"/>
      <c r="G81" s="28">
        <f>15292.92*0.8</f>
        <v>12234.336000000001</v>
      </c>
      <c r="H81" s="28">
        <v>0</v>
      </c>
      <c r="I81" s="15" t="s">
        <v>85</v>
      </c>
      <c r="J81" s="16"/>
      <c r="K81" s="17">
        <f t="shared" si="1"/>
        <v>12234.336000000001</v>
      </c>
    </row>
    <row r="82" spans="1:11" ht="12.75">
      <c r="A82" s="11">
        <v>58</v>
      </c>
      <c r="B82" s="27" t="s">
        <v>109</v>
      </c>
      <c r="C82" s="27"/>
      <c r="D82" s="27"/>
      <c r="E82" s="27"/>
      <c r="F82" s="27"/>
      <c r="G82" s="28">
        <f>8497.08*0.8</f>
        <v>6797.664000000001</v>
      </c>
      <c r="H82" s="28">
        <v>0</v>
      </c>
      <c r="I82" s="15" t="s">
        <v>85</v>
      </c>
      <c r="J82" s="16"/>
      <c r="K82" s="17">
        <f t="shared" si="1"/>
        <v>6797.664000000001</v>
      </c>
    </row>
    <row r="83" spans="1:11" ht="12.75">
      <c r="A83" s="11">
        <v>59</v>
      </c>
      <c r="B83" s="27" t="s">
        <v>110</v>
      </c>
      <c r="C83" s="27"/>
      <c r="D83" s="27"/>
      <c r="E83" s="27"/>
      <c r="F83" s="27"/>
      <c r="G83" s="28">
        <f>10258.08*0.8</f>
        <v>8206.464</v>
      </c>
      <c r="H83" s="28">
        <v>0</v>
      </c>
      <c r="I83" s="15" t="s">
        <v>85</v>
      </c>
      <c r="J83" s="16"/>
      <c r="K83" s="17">
        <f t="shared" si="1"/>
        <v>8206.464</v>
      </c>
    </row>
    <row r="84" spans="1:11" ht="12.75">
      <c r="A84" s="11">
        <v>60</v>
      </c>
      <c r="B84" s="27" t="s">
        <v>111</v>
      </c>
      <c r="C84" s="27"/>
      <c r="D84" s="27"/>
      <c r="E84" s="27"/>
      <c r="F84" s="27"/>
      <c r="G84" s="28">
        <f>10913.4*0.8</f>
        <v>8730.72</v>
      </c>
      <c r="H84" s="28">
        <v>0</v>
      </c>
      <c r="I84" s="15" t="s">
        <v>85</v>
      </c>
      <c r="J84" s="16"/>
      <c r="K84" s="17">
        <f t="shared" si="1"/>
        <v>8730.72</v>
      </c>
    </row>
    <row r="85" spans="1:11" ht="12.75">
      <c r="A85" s="11">
        <v>61</v>
      </c>
      <c r="B85" s="27" t="s">
        <v>112</v>
      </c>
      <c r="C85" s="27"/>
      <c r="D85" s="27"/>
      <c r="E85" s="27"/>
      <c r="F85" s="27"/>
      <c r="G85" s="28">
        <f>8924.88*0.8</f>
        <v>7139.9039999999995</v>
      </c>
      <c r="H85" s="28">
        <v>0</v>
      </c>
      <c r="I85" s="15" t="s">
        <v>85</v>
      </c>
      <c r="J85" s="16"/>
      <c r="K85" s="17">
        <f t="shared" si="1"/>
        <v>7139.9039999999995</v>
      </c>
    </row>
    <row r="86" spans="1:11" ht="12.75">
      <c r="A86" s="11">
        <v>62</v>
      </c>
      <c r="B86" s="12" t="s">
        <v>113</v>
      </c>
      <c r="C86" s="12"/>
      <c r="D86" s="12"/>
      <c r="E86" s="12"/>
      <c r="F86" s="12"/>
      <c r="G86" s="25">
        <f>60750.04*0.8</f>
        <v>48600.03200000001</v>
      </c>
      <c r="H86" s="25">
        <v>0</v>
      </c>
      <c r="I86" s="15" t="s">
        <v>16</v>
      </c>
      <c r="J86" s="16" t="s">
        <v>114</v>
      </c>
      <c r="K86" s="17">
        <f>(G86+H86)</f>
        <v>48600.03200000001</v>
      </c>
    </row>
    <row r="87" spans="1:11" ht="12.75">
      <c r="A87" s="101">
        <v>63</v>
      </c>
      <c r="B87" s="99" t="s">
        <v>115</v>
      </c>
      <c r="C87" s="41"/>
      <c r="D87" s="41"/>
      <c r="E87" s="41"/>
      <c r="F87" s="41"/>
      <c r="G87" s="95">
        <f>95547.84*0.8</f>
        <v>76438.272</v>
      </c>
      <c r="H87" s="25">
        <v>0</v>
      </c>
      <c r="I87" s="15" t="s">
        <v>23</v>
      </c>
      <c r="J87" s="16" t="s">
        <v>24</v>
      </c>
      <c r="K87" s="17">
        <f>(G87+H87)/2</f>
        <v>38219.136</v>
      </c>
    </row>
    <row r="88" spans="1:11" ht="25.5">
      <c r="A88" s="102"/>
      <c r="B88" s="100"/>
      <c r="C88" s="42"/>
      <c r="D88" s="42"/>
      <c r="E88" s="42"/>
      <c r="F88" s="42"/>
      <c r="G88" s="96"/>
      <c r="H88" s="25"/>
      <c r="I88" s="15" t="s">
        <v>116</v>
      </c>
      <c r="J88" s="16" t="s">
        <v>117</v>
      </c>
      <c r="K88" s="17">
        <f>K87</f>
        <v>38219.136</v>
      </c>
    </row>
    <row r="89" spans="1:11" ht="12.75">
      <c r="A89" s="11">
        <v>64</v>
      </c>
      <c r="B89" s="27" t="s">
        <v>118</v>
      </c>
      <c r="C89" s="27"/>
      <c r="D89" s="27"/>
      <c r="E89" s="27"/>
      <c r="F89" s="27"/>
      <c r="G89" s="28">
        <f>6920.88*0.8</f>
        <v>5536.704000000001</v>
      </c>
      <c r="H89" s="28">
        <v>0</v>
      </c>
      <c r="I89" s="15" t="s">
        <v>119</v>
      </c>
      <c r="J89" s="16" t="s">
        <v>117</v>
      </c>
      <c r="K89" s="17">
        <f>G89+H89</f>
        <v>5536.704000000001</v>
      </c>
    </row>
    <row r="90" spans="1:11" ht="25.5">
      <c r="A90" s="40">
        <v>65</v>
      </c>
      <c r="B90" s="43" t="s">
        <v>120</v>
      </c>
      <c r="C90" s="43"/>
      <c r="D90" s="43"/>
      <c r="E90" s="43"/>
      <c r="F90" s="43"/>
      <c r="G90" s="36">
        <f>52505.64*0.8</f>
        <v>42004.512</v>
      </c>
      <c r="H90" s="36">
        <v>0</v>
      </c>
      <c r="I90" s="29" t="s">
        <v>121</v>
      </c>
      <c r="J90" s="34" t="s">
        <v>122</v>
      </c>
      <c r="K90" s="17">
        <f>G90+H90</f>
        <v>42004.512</v>
      </c>
    </row>
    <row r="91" spans="1:11" ht="12.75">
      <c r="A91" s="107">
        <v>66</v>
      </c>
      <c r="B91" s="93" t="s">
        <v>123</v>
      </c>
      <c r="C91" s="12"/>
      <c r="D91" s="12"/>
      <c r="E91" s="12"/>
      <c r="F91" s="12"/>
      <c r="G91" s="95">
        <f>132075.72*0.8</f>
        <v>105660.576</v>
      </c>
      <c r="H91" s="25">
        <v>0</v>
      </c>
      <c r="I91" s="15" t="s">
        <v>124</v>
      </c>
      <c r="J91" s="16" t="s">
        <v>125</v>
      </c>
      <c r="K91" s="17">
        <f>(G91+H91)/2</f>
        <v>52830.288</v>
      </c>
    </row>
    <row r="92" spans="1:11" ht="12.75">
      <c r="A92" s="107"/>
      <c r="B92" s="94"/>
      <c r="C92" s="13"/>
      <c r="D92" s="13"/>
      <c r="E92" s="13"/>
      <c r="F92" s="13"/>
      <c r="G92" s="96"/>
      <c r="H92" s="19"/>
      <c r="I92" s="15" t="s">
        <v>23</v>
      </c>
      <c r="J92" s="16" t="s">
        <v>122</v>
      </c>
      <c r="K92" s="17">
        <f>K91</f>
        <v>52830.288</v>
      </c>
    </row>
    <row r="93" spans="1:11" ht="12.75">
      <c r="A93" s="107">
        <v>67</v>
      </c>
      <c r="B93" s="93" t="s">
        <v>126</v>
      </c>
      <c r="C93" s="12"/>
      <c r="D93" s="12"/>
      <c r="E93" s="12"/>
      <c r="F93" s="12"/>
      <c r="G93" s="95">
        <f>113716.2*0.8</f>
        <v>90972.96</v>
      </c>
      <c r="H93" s="25">
        <v>0</v>
      </c>
      <c r="I93" s="15" t="s">
        <v>127</v>
      </c>
      <c r="J93" s="16" t="s">
        <v>128</v>
      </c>
      <c r="K93" s="17">
        <f>(G93+H93)/2</f>
        <v>45486.48</v>
      </c>
    </row>
    <row r="94" spans="1:11" ht="12.75">
      <c r="A94" s="107"/>
      <c r="B94" s="94"/>
      <c r="C94" s="13"/>
      <c r="D94" s="13"/>
      <c r="E94" s="13"/>
      <c r="F94" s="13"/>
      <c r="G94" s="96"/>
      <c r="H94" s="19"/>
      <c r="I94" s="15" t="s">
        <v>23</v>
      </c>
      <c r="J94" s="16" t="s">
        <v>30</v>
      </c>
      <c r="K94" s="17">
        <f>K93</f>
        <v>45486.48</v>
      </c>
    </row>
    <row r="95" spans="1:11" ht="12.75">
      <c r="A95" s="11">
        <v>68</v>
      </c>
      <c r="B95" s="12" t="s">
        <v>129</v>
      </c>
      <c r="C95" s="12"/>
      <c r="D95" s="12"/>
      <c r="E95" s="12"/>
      <c r="F95" s="12"/>
      <c r="G95" s="25">
        <f>56993.04*0.8</f>
        <v>45594.432</v>
      </c>
      <c r="H95" s="25">
        <f>123694.68*0.97-65000</f>
        <v>54983.83959999999</v>
      </c>
      <c r="I95" s="15" t="s">
        <v>23</v>
      </c>
      <c r="J95" s="16" t="s">
        <v>35</v>
      </c>
      <c r="K95" s="17">
        <f>G95+H95</f>
        <v>100578.2716</v>
      </c>
    </row>
    <row r="96" spans="1:11" ht="12.75">
      <c r="A96" s="11">
        <v>69</v>
      </c>
      <c r="B96" s="12" t="s">
        <v>130</v>
      </c>
      <c r="C96" s="12"/>
      <c r="D96" s="12"/>
      <c r="E96" s="12"/>
      <c r="F96" s="12"/>
      <c r="G96" s="25">
        <f>137339.04*0.8</f>
        <v>109871.23200000002</v>
      </c>
      <c r="H96" s="25">
        <f>26949.6*0.97</f>
        <v>26141.111999999997</v>
      </c>
      <c r="I96" s="15" t="s">
        <v>23</v>
      </c>
      <c r="J96" s="16" t="s">
        <v>131</v>
      </c>
      <c r="K96" s="17">
        <f>G96+H96</f>
        <v>136012.344</v>
      </c>
    </row>
    <row r="97" spans="1:11" ht="25.5">
      <c r="A97" s="11">
        <v>70</v>
      </c>
      <c r="B97" s="27" t="s">
        <v>132</v>
      </c>
      <c r="C97" s="27"/>
      <c r="D97" s="27"/>
      <c r="E97" s="27"/>
      <c r="F97" s="27"/>
      <c r="G97" s="28">
        <f>2093.88*0.8</f>
        <v>1675.1040000000003</v>
      </c>
      <c r="H97" s="28">
        <v>0</v>
      </c>
      <c r="I97" s="29" t="s">
        <v>133</v>
      </c>
      <c r="J97" s="16" t="s">
        <v>134</v>
      </c>
      <c r="K97" s="17">
        <f>G97+H97</f>
        <v>1675.1040000000003</v>
      </c>
    </row>
    <row r="98" spans="1:11" ht="25.5">
      <c r="A98" s="11">
        <v>71</v>
      </c>
      <c r="B98" s="27" t="s">
        <v>135</v>
      </c>
      <c r="C98" s="27"/>
      <c r="D98" s="27"/>
      <c r="E98" s="27"/>
      <c r="F98" s="27"/>
      <c r="G98" s="28">
        <f>4172.4*0.8</f>
        <v>3337.92</v>
      </c>
      <c r="H98" s="28">
        <v>0</v>
      </c>
      <c r="I98" s="29" t="s">
        <v>133</v>
      </c>
      <c r="J98" s="16" t="s">
        <v>136</v>
      </c>
      <c r="K98" s="17">
        <f aca="true" t="shared" si="2" ref="K98:K146">G98+H98</f>
        <v>3337.92</v>
      </c>
    </row>
    <row r="99" spans="1:11" ht="12.75">
      <c r="A99" s="11">
        <v>72</v>
      </c>
      <c r="B99" s="12" t="s">
        <v>137</v>
      </c>
      <c r="C99" s="12"/>
      <c r="D99" s="12"/>
      <c r="E99" s="12"/>
      <c r="F99" s="12"/>
      <c r="G99" s="25">
        <f>73285.56*0.8</f>
        <v>58628.448000000004</v>
      </c>
      <c r="H99" s="25">
        <v>0</v>
      </c>
      <c r="I99" s="15" t="s">
        <v>138</v>
      </c>
      <c r="J99" s="16" t="s">
        <v>139</v>
      </c>
      <c r="K99" s="17">
        <f t="shared" si="2"/>
        <v>58628.448000000004</v>
      </c>
    </row>
    <row r="100" spans="1:11" ht="25.5">
      <c r="A100" s="11">
        <v>73</v>
      </c>
      <c r="B100" s="27" t="s">
        <v>140</v>
      </c>
      <c r="C100" s="27"/>
      <c r="D100" s="27"/>
      <c r="E100" s="27"/>
      <c r="F100" s="27"/>
      <c r="G100" s="28">
        <f>4258.8*0.8</f>
        <v>3407.0400000000004</v>
      </c>
      <c r="H100" s="28">
        <v>0</v>
      </c>
      <c r="I100" s="29" t="s">
        <v>141</v>
      </c>
      <c r="J100" s="16" t="s">
        <v>142</v>
      </c>
      <c r="K100" s="17">
        <f t="shared" si="2"/>
        <v>3407.0400000000004</v>
      </c>
    </row>
    <row r="101" spans="1:11" ht="25.5">
      <c r="A101" s="11">
        <v>74</v>
      </c>
      <c r="B101" s="44" t="s">
        <v>143</v>
      </c>
      <c r="C101" s="44"/>
      <c r="D101" s="44"/>
      <c r="E101" s="44"/>
      <c r="F101" s="44"/>
      <c r="G101" s="28">
        <f>2440.56*0.8</f>
        <v>1952.448</v>
      </c>
      <c r="H101" s="28">
        <v>0</v>
      </c>
      <c r="I101" s="29" t="s">
        <v>37</v>
      </c>
      <c r="J101" s="16" t="s">
        <v>38</v>
      </c>
      <c r="K101" s="17">
        <f t="shared" si="2"/>
        <v>1952.448</v>
      </c>
    </row>
    <row r="102" spans="1:11" ht="12.75">
      <c r="A102" s="11">
        <v>75</v>
      </c>
      <c r="B102" s="45" t="s">
        <v>144</v>
      </c>
      <c r="C102" s="45"/>
      <c r="D102" s="45"/>
      <c r="E102" s="45"/>
      <c r="F102" s="45"/>
      <c r="G102" s="28">
        <f>1980.84*0.8</f>
        <v>1584.672</v>
      </c>
      <c r="H102" s="28">
        <v>0</v>
      </c>
      <c r="I102" s="29" t="s">
        <v>145</v>
      </c>
      <c r="J102" s="16" t="s">
        <v>24</v>
      </c>
      <c r="K102" s="17">
        <f t="shared" si="2"/>
        <v>1584.672</v>
      </c>
    </row>
    <row r="103" spans="1:11" ht="12.75">
      <c r="A103" s="11">
        <v>76</v>
      </c>
      <c r="B103" s="30" t="s">
        <v>146</v>
      </c>
      <c r="C103" s="30"/>
      <c r="D103" s="30"/>
      <c r="E103" s="30"/>
      <c r="F103" s="30"/>
      <c r="G103" s="31">
        <f>5760.24*0.8</f>
        <v>4608.192</v>
      </c>
      <c r="H103" s="31">
        <f>6591*0.97+27000+5292</f>
        <v>38685.27</v>
      </c>
      <c r="I103" s="22" t="s">
        <v>41</v>
      </c>
      <c r="J103" s="23" t="s">
        <v>147</v>
      </c>
      <c r="K103" s="24">
        <f t="shared" si="2"/>
        <v>43293.462</v>
      </c>
    </row>
    <row r="104" spans="1:11" ht="12.75">
      <c r="A104" s="11">
        <v>77</v>
      </c>
      <c r="B104" s="27" t="s">
        <v>148</v>
      </c>
      <c r="C104" s="27"/>
      <c r="D104" s="27"/>
      <c r="E104" s="27"/>
      <c r="F104" s="27"/>
      <c r="G104" s="28">
        <f>19554.12*0.8</f>
        <v>15643.296</v>
      </c>
      <c r="H104" s="28">
        <v>0</v>
      </c>
      <c r="I104" s="15" t="s">
        <v>74</v>
      </c>
      <c r="J104" s="16" t="s">
        <v>149</v>
      </c>
      <c r="K104" s="17">
        <f t="shared" si="2"/>
        <v>15643.296</v>
      </c>
    </row>
    <row r="105" spans="1:11" ht="12.75">
      <c r="A105" s="11">
        <v>78</v>
      </c>
      <c r="B105" s="27" t="s">
        <v>150</v>
      </c>
      <c r="C105" s="27"/>
      <c r="D105" s="27"/>
      <c r="E105" s="27"/>
      <c r="F105" s="27"/>
      <c r="G105" s="28">
        <f>21884.76*0.8</f>
        <v>17507.808</v>
      </c>
      <c r="H105" s="28">
        <v>0</v>
      </c>
      <c r="I105" s="15" t="s">
        <v>41</v>
      </c>
      <c r="J105" s="16" t="s">
        <v>66</v>
      </c>
      <c r="K105" s="17">
        <f t="shared" si="2"/>
        <v>17507.808</v>
      </c>
    </row>
    <row r="106" spans="1:11" ht="12.75">
      <c r="A106" s="11">
        <v>79</v>
      </c>
      <c r="B106" s="27" t="s">
        <v>151</v>
      </c>
      <c r="C106" s="27"/>
      <c r="D106" s="27"/>
      <c r="E106" s="27"/>
      <c r="F106" s="27"/>
      <c r="G106" s="28">
        <f>22400.76*0.8</f>
        <v>17920.608</v>
      </c>
      <c r="H106" s="28">
        <v>0</v>
      </c>
      <c r="I106" s="15" t="s">
        <v>74</v>
      </c>
      <c r="J106" s="16" t="s">
        <v>66</v>
      </c>
      <c r="K106" s="17">
        <f t="shared" si="2"/>
        <v>17920.608</v>
      </c>
    </row>
    <row r="107" spans="1:11" ht="12.75">
      <c r="A107" s="11">
        <v>80</v>
      </c>
      <c r="B107" s="27" t="s">
        <v>152</v>
      </c>
      <c r="C107" s="27"/>
      <c r="D107" s="27"/>
      <c r="E107" s="27"/>
      <c r="F107" s="27"/>
      <c r="G107" s="28">
        <f>11353.32*0.8</f>
        <v>9082.656</v>
      </c>
      <c r="H107" s="28">
        <v>0</v>
      </c>
      <c r="I107" s="15" t="s">
        <v>74</v>
      </c>
      <c r="J107" s="16" t="s">
        <v>153</v>
      </c>
      <c r="K107" s="17">
        <f t="shared" si="2"/>
        <v>9082.656</v>
      </c>
    </row>
    <row r="108" spans="1:11" ht="12.75">
      <c r="A108" s="11">
        <v>81</v>
      </c>
      <c r="B108" s="27" t="s">
        <v>154</v>
      </c>
      <c r="C108" s="27"/>
      <c r="D108" s="27"/>
      <c r="E108" s="27"/>
      <c r="F108" s="27"/>
      <c r="G108" s="28">
        <f>12696.48*0.8</f>
        <v>10157.184000000001</v>
      </c>
      <c r="H108" s="28">
        <v>0</v>
      </c>
      <c r="I108" s="15" t="s">
        <v>155</v>
      </c>
      <c r="J108" s="16" t="s">
        <v>156</v>
      </c>
      <c r="K108" s="17">
        <f t="shared" si="2"/>
        <v>10157.184000000001</v>
      </c>
    </row>
    <row r="109" spans="1:11" ht="12.75">
      <c r="A109" s="11">
        <v>82</v>
      </c>
      <c r="B109" s="44" t="s">
        <v>157</v>
      </c>
      <c r="C109" s="44"/>
      <c r="D109" s="44"/>
      <c r="E109" s="44"/>
      <c r="F109" s="44"/>
      <c r="G109" s="28">
        <f>6519.72*0.8</f>
        <v>5215.776000000001</v>
      </c>
      <c r="H109" s="28">
        <v>0</v>
      </c>
      <c r="I109" s="15" t="s">
        <v>158</v>
      </c>
      <c r="J109" s="16" t="s">
        <v>159</v>
      </c>
      <c r="K109" s="17">
        <f t="shared" si="2"/>
        <v>5215.776000000001</v>
      </c>
    </row>
    <row r="110" spans="1:11" ht="12.75">
      <c r="A110" s="11">
        <v>83</v>
      </c>
      <c r="B110" s="44" t="s">
        <v>160</v>
      </c>
      <c r="C110" s="44"/>
      <c r="D110" s="44"/>
      <c r="E110" s="44"/>
      <c r="F110" s="44"/>
      <c r="G110" s="28">
        <f>3032.04*0.8</f>
        <v>2425.632</v>
      </c>
      <c r="H110" s="28">
        <v>0</v>
      </c>
      <c r="I110" s="15" t="s">
        <v>74</v>
      </c>
      <c r="J110" s="16" t="s">
        <v>59</v>
      </c>
      <c r="K110" s="17">
        <f t="shared" si="2"/>
        <v>2425.632</v>
      </c>
    </row>
    <row r="111" spans="1:11" ht="12.75">
      <c r="A111" s="11">
        <v>84</v>
      </c>
      <c r="B111" s="44" t="s">
        <v>161</v>
      </c>
      <c r="C111" s="44"/>
      <c r="D111" s="44"/>
      <c r="E111" s="44"/>
      <c r="F111" s="44"/>
      <c r="G111" s="28">
        <f>5801.52*0.8</f>
        <v>4641.216</v>
      </c>
      <c r="H111" s="28">
        <v>0</v>
      </c>
      <c r="I111" s="15" t="s">
        <v>162</v>
      </c>
      <c r="J111" s="16" t="s">
        <v>24</v>
      </c>
      <c r="K111" s="17">
        <f t="shared" si="2"/>
        <v>4641.216</v>
      </c>
    </row>
    <row r="112" spans="1:11" ht="12.75">
      <c r="A112" s="11">
        <v>85</v>
      </c>
      <c r="B112" s="44" t="s">
        <v>163</v>
      </c>
      <c r="C112" s="44"/>
      <c r="D112" s="44"/>
      <c r="E112" s="44"/>
      <c r="F112" s="44"/>
      <c r="G112" s="28">
        <f>1033.8*0.8</f>
        <v>827.04</v>
      </c>
      <c r="H112" s="28">
        <v>0</v>
      </c>
      <c r="I112" s="15" t="s">
        <v>162</v>
      </c>
      <c r="J112" s="16" t="s">
        <v>24</v>
      </c>
      <c r="K112" s="17">
        <f t="shared" si="2"/>
        <v>827.04</v>
      </c>
    </row>
    <row r="113" spans="1:11" ht="12.75">
      <c r="A113" s="11">
        <v>86</v>
      </c>
      <c r="B113" s="27" t="s">
        <v>164</v>
      </c>
      <c r="C113" s="27"/>
      <c r="D113" s="27"/>
      <c r="E113" s="27"/>
      <c r="F113" s="27"/>
      <c r="G113" s="28">
        <f>3014.16*0.8</f>
        <v>2411.328</v>
      </c>
      <c r="H113" s="28">
        <v>0</v>
      </c>
      <c r="I113" s="15" t="s">
        <v>74</v>
      </c>
      <c r="J113" s="16" t="s">
        <v>165</v>
      </c>
      <c r="K113" s="17">
        <f t="shared" si="2"/>
        <v>2411.328</v>
      </c>
    </row>
    <row r="114" spans="1:11" ht="12.75">
      <c r="A114" s="11">
        <v>87</v>
      </c>
      <c r="B114" s="27" t="s">
        <v>295</v>
      </c>
      <c r="C114" s="27"/>
      <c r="D114" s="27"/>
      <c r="E114" s="27"/>
      <c r="F114" s="27"/>
      <c r="G114" s="28">
        <f>7456.56*0.8</f>
        <v>5965.2480000000005</v>
      </c>
      <c r="H114" s="28">
        <v>0</v>
      </c>
      <c r="I114" s="15" t="s">
        <v>74</v>
      </c>
      <c r="J114" s="16" t="s">
        <v>166</v>
      </c>
      <c r="K114" s="17">
        <f t="shared" si="2"/>
        <v>5965.2480000000005</v>
      </c>
    </row>
    <row r="115" spans="1:11" ht="12.75">
      <c r="A115" s="11">
        <v>88</v>
      </c>
      <c r="B115" s="27" t="s">
        <v>167</v>
      </c>
      <c r="C115" s="27"/>
      <c r="D115" s="27"/>
      <c r="E115" s="27"/>
      <c r="F115" s="27"/>
      <c r="G115" s="28">
        <f>10214.4*0.8</f>
        <v>8171.52</v>
      </c>
      <c r="H115" s="28">
        <v>0</v>
      </c>
      <c r="I115" s="15" t="s">
        <v>168</v>
      </c>
      <c r="J115" s="16" t="s">
        <v>30</v>
      </c>
      <c r="K115" s="17">
        <f t="shared" si="2"/>
        <v>8171.52</v>
      </c>
    </row>
    <row r="116" spans="1:11" ht="12.75">
      <c r="A116" s="101">
        <v>89</v>
      </c>
      <c r="B116" s="103" t="s">
        <v>169</v>
      </c>
      <c r="C116" s="46"/>
      <c r="D116" s="46"/>
      <c r="E116" s="46"/>
      <c r="F116" s="46"/>
      <c r="G116" s="105">
        <f>74491.8*0.8</f>
        <v>59593.44</v>
      </c>
      <c r="H116" s="105">
        <v>0</v>
      </c>
      <c r="I116" s="37" t="s">
        <v>16</v>
      </c>
      <c r="J116" s="34" t="s">
        <v>70</v>
      </c>
      <c r="K116" s="17">
        <f>(G116+H116)/2</f>
        <v>29796.72</v>
      </c>
    </row>
    <row r="117" spans="1:11" ht="12.75">
      <c r="A117" s="102"/>
      <c r="B117" s="104"/>
      <c r="C117" s="53"/>
      <c r="D117" s="53"/>
      <c r="E117" s="53"/>
      <c r="F117" s="53"/>
      <c r="G117" s="106"/>
      <c r="H117" s="106"/>
      <c r="I117" s="37" t="s">
        <v>23</v>
      </c>
      <c r="J117" s="34" t="s">
        <v>24</v>
      </c>
      <c r="K117" s="17">
        <f>K116</f>
        <v>29796.72</v>
      </c>
    </row>
    <row r="118" spans="1:11" ht="25.5">
      <c r="A118" s="11">
        <v>90</v>
      </c>
      <c r="B118" s="27" t="s">
        <v>170</v>
      </c>
      <c r="C118" s="27"/>
      <c r="D118" s="27"/>
      <c r="E118" s="27"/>
      <c r="F118" s="27"/>
      <c r="G118" s="28">
        <f>5926.2*0.8</f>
        <v>4740.96</v>
      </c>
      <c r="H118" s="28">
        <v>0</v>
      </c>
      <c r="I118" s="29" t="s">
        <v>37</v>
      </c>
      <c r="J118" s="16" t="s">
        <v>38</v>
      </c>
      <c r="K118" s="17">
        <f t="shared" si="2"/>
        <v>4740.96</v>
      </c>
    </row>
    <row r="119" spans="1:11" ht="25.5">
      <c r="A119" s="11">
        <v>91</v>
      </c>
      <c r="B119" s="27" t="s">
        <v>171</v>
      </c>
      <c r="C119" s="27"/>
      <c r="D119" s="27"/>
      <c r="E119" s="27"/>
      <c r="F119" s="27"/>
      <c r="G119" s="28">
        <f>6090.24*0.8</f>
        <v>4872.192</v>
      </c>
      <c r="H119" s="28">
        <v>0</v>
      </c>
      <c r="I119" s="29" t="s">
        <v>37</v>
      </c>
      <c r="J119" s="16" t="s">
        <v>38</v>
      </c>
      <c r="K119" s="17">
        <f t="shared" si="2"/>
        <v>4872.192</v>
      </c>
    </row>
    <row r="120" spans="1:11" ht="25.5">
      <c r="A120" s="11">
        <v>92</v>
      </c>
      <c r="B120" s="27" t="s">
        <v>172</v>
      </c>
      <c r="C120" s="27"/>
      <c r="D120" s="27"/>
      <c r="E120" s="27"/>
      <c r="F120" s="27"/>
      <c r="G120" s="28">
        <f>3418.56*0.8</f>
        <v>2734.848</v>
      </c>
      <c r="H120" s="28">
        <v>0</v>
      </c>
      <c r="I120" s="29" t="s">
        <v>37</v>
      </c>
      <c r="J120" s="16" t="s">
        <v>38</v>
      </c>
      <c r="K120" s="17">
        <f t="shared" si="2"/>
        <v>2734.848</v>
      </c>
    </row>
    <row r="121" spans="1:11" ht="25.5">
      <c r="A121" s="11">
        <v>93</v>
      </c>
      <c r="B121" s="27" t="s">
        <v>173</v>
      </c>
      <c r="C121" s="27"/>
      <c r="D121" s="27"/>
      <c r="E121" s="27"/>
      <c r="F121" s="27"/>
      <c r="G121" s="28">
        <f>1233*0.8</f>
        <v>986.4000000000001</v>
      </c>
      <c r="H121" s="28">
        <v>0</v>
      </c>
      <c r="I121" s="29" t="s">
        <v>37</v>
      </c>
      <c r="J121" s="16" t="s">
        <v>38</v>
      </c>
      <c r="K121" s="17">
        <f t="shared" si="2"/>
        <v>986.4000000000001</v>
      </c>
    </row>
    <row r="122" spans="1:11" ht="25.5">
      <c r="A122" s="11">
        <v>94</v>
      </c>
      <c r="B122" s="27" t="s">
        <v>174</v>
      </c>
      <c r="C122" s="27"/>
      <c r="D122" s="27"/>
      <c r="E122" s="27"/>
      <c r="F122" s="27"/>
      <c r="G122" s="28">
        <f>5154.72*0.8</f>
        <v>4123.776000000001</v>
      </c>
      <c r="H122" s="28">
        <v>0</v>
      </c>
      <c r="I122" s="29" t="s">
        <v>141</v>
      </c>
      <c r="J122" s="16" t="s">
        <v>142</v>
      </c>
      <c r="K122" s="17">
        <f t="shared" si="2"/>
        <v>4123.776000000001</v>
      </c>
    </row>
    <row r="123" spans="1:11" ht="25.5">
      <c r="A123" s="11">
        <v>95</v>
      </c>
      <c r="B123" s="27" t="s">
        <v>175</v>
      </c>
      <c r="C123" s="27"/>
      <c r="D123" s="27"/>
      <c r="E123" s="27"/>
      <c r="F123" s="27"/>
      <c r="G123" s="28">
        <f>10134.24*0.8</f>
        <v>8107.392</v>
      </c>
      <c r="H123" s="28">
        <v>0</v>
      </c>
      <c r="I123" s="29" t="s">
        <v>141</v>
      </c>
      <c r="J123" s="16" t="s">
        <v>176</v>
      </c>
      <c r="K123" s="17">
        <f t="shared" si="2"/>
        <v>8107.392</v>
      </c>
    </row>
    <row r="124" spans="1:11" ht="25.5">
      <c r="A124" s="11">
        <v>96</v>
      </c>
      <c r="B124" s="27" t="s">
        <v>177</v>
      </c>
      <c r="C124" s="27"/>
      <c r="D124" s="27"/>
      <c r="E124" s="27"/>
      <c r="F124" s="27"/>
      <c r="G124" s="28">
        <f>6747*0.8</f>
        <v>5397.6</v>
      </c>
      <c r="H124" s="28">
        <v>0</v>
      </c>
      <c r="I124" s="29" t="s">
        <v>178</v>
      </c>
      <c r="J124" s="16" t="s">
        <v>136</v>
      </c>
      <c r="K124" s="17">
        <f t="shared" si="2"/>
        <v>5397.6</v>
      </c>
    </row>
    <row r="125" spans="1:11" ht="25.5">
      <c r="A125" s="11">
        <v>97</v>
      </c>
      <c r="B125" s="27" t="s">
        <v>179</v>
      </c>
      <c r="C125" s="27"/>
      <c r="D125" s="27"/>
      <c r="E125" s="27"/>
      <c r="F125" s="27"/>
      <c r="G125" s="28">
        <f>1904.28*0.8</f>
        <v>1523.424</v>
      </c>
      <c r="H125" s="28">
        <v>0</v>
      </c>
      <c r="I125" s="29" t="s">
        <v>180</v>
      </c>
      <c r="J125" s="16"/>
      <c r="K125" s="17">
        <f t="shared" si="2"/>
        <v>1523.424</v>
      </c>
    </row>
    <row r="126" spans="1:11" ht="12.75">
      <c r="A126" s="11">
        <v>98</v>
      </c>
      <c r="B126" s="12" t="s">
        <v>181</v>
      </c>
      <c r="C126" s="12"/>
      <c r="D126" s="12"/>
      <c r="E126" s="12"/>
      <c r="F126" s="12"/>
      <c r="G126" s="25">
        <f>18746.4*0.8</f>
        <v>14997.120000000003</v>
      </c>
      <c r="H126" s="25">
        <v>0</v>
      </c>
      <c r="I126" s="15" t="s">
        <v>74</v>
      </c>
      <c r="J126" s="16" t="s">
        <v>27</v>
      </c>
      <c r="K126" s="17">
        <f t="shared" si="2"/>
        <v>14997.120000000003</v>
      </c>
    </row>
    <row r="127" spans="1:11" ht="12.75">
      <c r="A127" s="11">
        <v>99</v>
      </c>
      <c r="B127" s="12" t="s">
        <v>182</v>
      </c>
      <c r="C127" s="12"/>
      <c r="D127" s="12"/>
      <c r="E127" s="12"/>
      <c r="F127" s="12"/>
      <c r="G127" s="25">
        <f>14976.6*0.8</f>
        <v>11981.28</v>
      </c>
      <c r="H127" s="25">
        <v>0</v>
      </c>
      <c r="I127" s="15" t="s">
        <v>183</v>
      </c>
      <c r="J127" s="16" t="s">
        <v>24</v>
      </c>
      <c r="K127" s="17">
        <f>G127+H127</f>
        <v>11981.28</v>
      </c>
    </row>
    <row r="128" spans="1:11" ht="25.5">
      <c r="A128" s="11">
        <v>100</v>
      </c>
      <c r="B128" s="27" t="s">
        <v>184</v>
      </c>
      <c r="C128" s="27"/>
      <c r="D128" s="27"/>
      <c r="E128" s="27"/>
      <c r="F128" s="27"/>
      <c r="G128" s="28">
        <f>3164.16*0.8</f>
        <v>2531.328</v>
      </c>
      <c r="H128" s="28">
        <v>0</v>
      </c>
      <c r="I128" s="29" t="s">
        <v>37</v>
      </c>
      <c r="J128" s="16" t="s">
        <v>38</v>
      </c>
      <c r="K128" s="17">
        <f t="shared" si="2"/>
        <v>2531.328</v>
      </c>
    </row>
    <row r="129" spans="1:11" ht="25.5">
      <c r="A129" s="11">
        <v>101</v>
      </c>
      <c r="B129" s="27" t="s">
        <v>185</v>
      </c>
      <c r="C129" s="27"/>
      <c r="D129" s="27"/>
      <c r="E129" s="27"/>
      <c r="F129" s="27"/>
      <c r="G129" s="28">
        <f>4284.6*0.8</f>
        <v>3427.6800000000003</v>
      </c>
      <c r="H129" s="28">
        <v>0</v>
      </c>
      <c r="I129" s="29" t="s">
        <v>186</v>
      </c>
      <c r="J129" s="16" t="s">
        <v>142</v>
      </c>
      <c r="K129" s="17">
        <f t="shared" si="2"/>
        <v>3427.6800000000003</v>
      </c>
    </row>
    <row r="130" spans="1:11" ht="12.75">
      <c r="A130" s="11">
        <v>102</v>
      </c>
      <c r="B130" s="27" t="s">
        <v>187</v>
      </c>
      <c r="C130" s="27"/>
      <c r="D130" s="27"/>
      <c r="E130" s="27"/>
      <c r="F130" s="27"/>
      <c r="G130" s="28">
        <f>7051.56*0.8</f>
        <v>5641.2480000000005</v>
      </c>
      <c r="H130" s="28">
        <v>0</v>
      </c>
      <c r="I130" s="15" t="s">
        <v>74</v>
      </c>
      <c r="J130" s="16" t="s">
        <v>188</v>
      </c>
      <c r="K130" s="17">
        <f t="shared" si="2"/>
        <v>5641.2480000000005</v>
      </c>
    </row>
    <row r="131" spans="1:11" ht="25.5">
      <c r="A131" s="11">
        <v>103</v>
      </c>
      <c r="B131" s="27" t="s">
        <v>189</v>
      </c>
      <c r="C131" s="27"/>
      <c r="D131" s="27"/>
      <c r="E131" s="27"/>
      <c r="F131" s="27"/>
      <c r="G131" s="28">
        <f>2973.36*0.8</f>
        <v>2378.688</v>
      </c>
      <c r="H131" s="28">
        <v>0</v>
      </c>
      <c r="I131" s="29" t="s">
        <v>186</v>
      </c>
      <c r="J131" s="16" t="s">
        <v>176</v>
      </c>
      <c r="K131" s="17">
        <f t="shared" si="2"/>
        <v>2378.688</v>
      </c>
    </row>
    <row r="132" spans="1:11" ht="12.75">
      <c r="A132" s="11">
        <v>104</v>
      </c>
      <c r="B132" s="27" t="s">
        <v>190</v>
      </c>
      <c r="C132" s="27"/>
      <c r="D132" s="27"/>
      <c r="E132" s="27"/>
      <c r="F132" s="27"/>
      <c r="G132" s="28">
        <f>9262.8*0.8</f>
        <v>7410.24</v>
      </c>
      <c r="H132" s="28">
        <v>0</v>
      </c>
      <c r="I132" s="15" t="s">
        <v>74</v>
      </c>
      <c r="J132" s="16" t="s">
        <v>191</v>
      </c>
      <c r="K132" s="17">
        <f t="shared" si="2"/>
        <v>7410.24</v>
      </c>
    </row>
    <row r="133" spans="1:11" ht="25.5">
      <c r="A133" s="11">
        <v>105</v>
      </c>
      <c r="B133" s="27" t="s">
        <v>192</v>
      </c>
      <c r="C133" s="27"/>
      <c r="D133" s="27"/>
      <c r="E133" s="27"/>
      <c r="F133" s="27"/>
      <c r="G133" s="28">
        <f>6468*0.8</f>
        <v>5174.400000000001</v>
      </c>
      <c r="H133" s="28">
        <v>0</v>
      </c>
      <c r="I133" s="29" t="s">
        <v>193</v>
      </c>
      <c r="J133" s="16" t="s">
        <v>194</v>
      </c>
      <c r="K133" s="17">
        <f t="shared" si="2"/>
        <v>5174.400000000001</v>
      </c>
    </row>
    <row r="134" spans="1:11" ht="25.5">
      <c r="A134" s="11">
        <v>106</v>
      </c>
      <c r="B134" s="27" t="s">
        <v>195</v>
      </c>
      <c r="C134" s="27"/>
      <c r="D134" s="27"/>
      <c r="E134" s="27"/>
      <c r="F134" s="27"/>
      <c r="G134" s="28">
        <f>1203.84*0.8</f>
        <v>963.072</v>
      </c>
      <c r="H134" s="28">
        <v>0</v>
      </c>
      <c r="I134" s="29" t="s">
        <v>37</v>
      </c>
      <c r="J134" s="16" t="s">
        <v>38</v>
      </c>
      <c r="K134" s="17">
        <f t="shared" si="2"/>
        <v>963.072</v>
      </c>
    </row>
    <row r="135" spans="1:11" ht="25.5">
      <c r="A135" s="11">
        <v>107</v>
      </c>
      <c r="B135" s="27" t="s">
        <v>196</v>
      </c>
      <c r="C135" s="27"/>
      <c r="D135" s="27"/>
      <c r="E135" s="27"/>
      <c r="F135" s="27"/>
      <c r="G135" s="28">
        <f>2513.52*0.8</f>
        <v>2010.816</v>
      </c>
      <c r="H135" s="28">
        <v>0</v>
      </c>
      <c r="I135" s="29" t="s">
        <v>37</v>
      </c>
      <c r="J135" s="16" t="s">
        <v>38</v>
      </c>
      <c r="K135" s="17">
        <f t="shared" si="2"/>
        <v>2010.816</v>
      </c>
    </row>
    <row r="136" spans="1:11" ht="25.5">
      <c r="A136" s="11">
        <v>108</v>
      </c>
      <c r="B136" s="27" t="s">
        <v>197</v>
      </c>
      <c r="C136" s="27"/>
      <c r="D136" s="27"/>
      <c r="E136" s="27"/>
      <c r="F136" s="27"/>
      <c r="G136" s="28">
        <f>3182.88*0.8</f>
        <v>2546.304</v>
      </c>
      <c r="H136" s="28">
        <v>0</v>
      </c>
      <c r="I136" s="29" t="s">
        <v>198</v>
      </c>
      <c r="J136" s="16" t="s">
        <v>142</v>
      </c>
      <c r="K136" s="17">
        <f t="shared" si="2"/>
        <v>2546.304</v>
      </c>
    </row>
    <row r="137" spans="1:11" ht="25.5">
      <c r="A137" s="11">
        <v>109</v>
      </c>
      <c r="B137" s="27" t="s">
        <v>199</v>
      </c>
      <c r="C137" s="27"/>
      <c r="D137" s="27"/>
      <c r="E137" s="27"/>
      <c r="F137" s="27"/>
      <c r="G137" s="28">
        <f>2640.24*0.8</f>
        <v>2112.192</v>
      </c>
      <c r="H137" s="28">
        <v>0</v>
      </c>
      <c r="I137" s="29" t="s">
        <v>180</v>
      </c>
      <c r="J137" s="16" t="s">
        <v>38</v>
      </c>
      <c r="K137" s="17">
        <f>G137+H137</f>
        <v>2112.192</v>
      </c>
    </row>
    <row r="138" spans="1:11" ht="12.75">
      <c r="A138" s="11">
        <v>110</v>
      </c>
      <c r="B138" s="44" t="s">
        <v>200</v>
      </c>
      <c r="C138" s="44"/>
      <c r="D138" s="44"/>
      <c r="E138" s="44"/>
      <c r="F138" s="44"/>
      <c r="G138" s="28">
        <f>10727.28*0.8</f>
        <v>8581.824</v>
      </c>
      <c r="H138" s="28">
        <v>0</v>
      </c>
      <c r="I138" s="15" t="s">
        <v>162</v>
      </c>
      <c r="J138" s="16" t="s">
        <v>38</v>
      </c>
      <c r="K138" s="17">
        <f t="shared" si="2"/>
        <v>8581.824</v>
      </c>
    </row>
    <row r="139" spans="1:11" ht="25.5">
      <c r="A139" s="11">
        <v>111</v>
      </c>
      <c r="B139" s="27" t="s">
        <v>201</v>
      </c>
      <c r="C139" s="27"/>
      <c r="D139" s="27"/>
      <c r="E139" s="27"/>
      <c r="F139" s="27"/>
      <c r="G139" s="28">
        <f>4389.6*0.8</f>
        <v>3511.6800000000003</v>
      </c>
      <c r="H139" s="28">
        <v>0</v>
      </c>
      <c r="I139" s="29" t="s">
        <v>180</v>
      </c>
      <c r="J139" s="16" t="s">
        <v>24</v>
      </c>
      <c r="K139" s="17">
        <f t="shared" si="2"/>
        <v>3511.6800000000003</v>
      </c>
    </row>
    <row r="140" spans="1:11" ht="25.5">
      <c r="A140" s="11">
        <v>112</v>
      </c>
      <c r="B140" s="27" t="s">
        <v>202</v>
      </c>
      <c r="C140" s="27"/>
      <c r="D140" s="27"/>
      <c r="E140" s="27"/>
      <c r="F140" s="27"/>
      <c r="G140" s="28">
        <f>5005.8*0.8</f>
        <v>4004.6400000000003</v>
      </c>
      <c r="H140" s="28">
        <v>0</v>
      </c>
      <c r="I140" s="29" t="s">
        <v>133</v>
      </c>
      <c r="J140" s="16" t="s">
        <v>142</v>
      </c>
      <c r="K140" s="17">
        <f t="shared" si="2"/>
        <v>4004.6400000000003</v>
      </c>
    </row>
    <row r="141" spans="1:11" ht="12.75">
      <c r="A141" s="11">
        <v>113</v>
      </c>
      <c r="B141" s="30" t="s">
        <v>203</v>
      </c>
      <c r="C141" s="30"/>
      <c r="D141" s="30"/>
      <c r="E141" s="30"/>
      <c r="F141" s="30"/>
      <c r="G141" s="31">
        <f>7179.24*0.8</f>
        <v>5743.392</v>
      </c>
      <c r="H141" s="31">
        <v>0</v>
      </c>
      <c r="I141" s="22" t="s">
        <v>41</v>
      </c>
      <c r="J141" s="23" t="s">
        <v>204</v>
      </c>
      <c r="K141" s="24">
        <f t="shared" si="2"/>
        <v>5743.392</v>
      </c>
    </row>
    <row r="142" spans="1:11" ht="25.5">
      <c r="A142" s="11">
        <v>114</v>
      </c>
      <c r="B142" s="27" t="s">
        <v>205</v>
      </c>
      <c r="C142" s="27"/>
      <c r="D142" s="27"/>
      <c r="E142" s="27"/>
      <c r="F142" s="27"/>
      <c r="G142" s="28">
        <f>901.08*0.8</f>
        <v>720.864</v>
      </c>
      <c r="H142" s="28">
        <v>0</v>
      </c>
      <c r="I142" s="29" t="s">
        <v>180</v>
      </c>
      <c r="J142" s="16" t="s">
        <v>38</v>
      </c>
      <c r="K142" s="17">
        <f t="shared" si="2"/>
        <v>720.864</v>
      </c>
    </row>
    <row r="143" spans="1:11" ht="25.5">
      <c r="A143" s="11">
        <v>115</v>
      </c>
      <c r="B143" s="27" t="s">
        <v>206</v>
      </c>
      <c r="C143" s="27"/>
      <c r="D143" s="27"/>
      <c r="E143" s="27"/>
      <c r="F143" s="27"/>
      <c r="G143" s="28">
        <f>3523.92*0.8</f>
        <v>2819.1360000000004</v>
      </c>
      <c r="H143" s="28">
        <v>0</v>
      </c>
      <c r="I143" s="29" t="s">
        <v>180</v>
      </c>
      <c r="J143" s="16" t="s">
        <v>38</v>
      </c>
      <c r="K143" s="17">
        <f t="shared" si="2"/>
        <v>2819.1360000000004</v>
      </c>
    </row>
    <row r="144" spans="1:11" ht="12.75">
      <c r="A144" s="11">
        <v>116</v>
      </c>
      <c r="B144" s="27" t="s">
        <v>207</v>
      </c>
      <c r="C144" s="27"/>
      <c r="D144" s="27"/>
      <c r="E144" s="27"/>
      <c r="F144" s="27"/>
      <c r="G144" s="28">
        <f>5727.36*0.8</f>
        <v>4581.888</v>
      </c>
      <c r="H144" s="28">
        <v>0</v>
      </c>
      <c r="I144" s="15" t="s">
        <v>74</v>
      </c>
      <c r="J144" s="16" t="s">
        <v>166</v>
      </c>
      <c r="K144" s="17">
        <f t="shared" si="2"/>
        <v>4581.888</v>
      </c>
    </row>
    <row r="145" spans="1:11" ht="25.5">
      <c r="A145" s="11">
        <v>117</v>
      </c>
      <c r="B145" s="27" t="s">
        <v>208</v>
      </c>
      <c r="C145" s="27"/>
      <c r="D145" s="27"/>
      <c r="E145" s="27"/>
      <c r="F145" s="27"/>
      <c r="G145" s="28">
        <f>1156.92*0.8</f>
        <v>925.5360000000001</v>
      </c>
      <c r="H145" s="28">
        <v>0</v>
      </c>
      <c r="I145" s="29" t="s">
        <v>37</v>
      </c>
      <c r="J145" s="16" t="s">
        <v>38</v>
      </c>
      <c r="K145" s="17">
        <f>G145+H145</f>
        <v>925.5360000000001</v>
      </c>
    </row>
    <row r="146" spans="1:11" ht="25.5">
      <c r="A146" s="11">
        <v>118</v>
      </c>
      <c r="B146" s="27" t="s">
        <v>209</v>
      </c>
      <c r="C146" s="27"/>
      <c r="D146" s="27"/>
      <c r="E146" s="27"/>
      <c r="F146" s="27"/>
      <c r="G146" s="28">
        <f>2905.56*0.8</f>
        <v>2324.448</v>
      </c>
      <c r="H146" s="28">
        <v>0</v>
      </c>
      <c r="I146" s="29" t="s">
        <v>37</v>
      </c>
      <c r="J146" s="16" t="s">
        <v>38</v>
      </c>
      <c r="K146" s="17">
        <f t="shared" si="2"/>
        <v>2324.448</v>
      </c>
    </row>
    <row r="147" spans="1:11" ht="25.5">
      <c r="A147" s="83">
        <v>119</v>
      </c>
      <c r="B147" s="99" t="s">
        <v>210</v>
      </c>
      <c r="C147" s="41"/>
      <c r="D147" s="41"/>
      <c r="E147" s="41"/>
      <c r="F147" s="41"/>
      <c r="G147" s="95">
        <f>65346.36*0.8</f>
        <v>52277.088</v>
      </c>
      <c r="H147" s="95">
        <v>0</v>
      </c>
      <c r="I147" s="15" t="s">
        <v>211</v>
      </c>
      <c r="J147" s="16" t="s">
        <v>139</v>
      </c>
      <c r="K147" s="17">
        <f>G147+H147-K148</f>
        <v>32277.088000000003</v>
      </c>
    </row>
    <row r="148" spans="1:11" ht="25.5">
      <c r="A148" s="84"/>
      <c r="B148" s="100"/>
      <c r="C148" s="42"/>
      <c r="D148" s="42"/>
      <c r="E148" s="42"/>
      <c r="F148" s="42"/>
      <c r="G148" s="96"/>
      <c r="H148" s="96"/>
      <c r="I148" s="15" t="s">
        <v>212</v>
      </c>
      <c r="J148" s="16" t="s">
        <v>24</v>
      </c>
      <c r="K148" s="17">
        <v>20000</v>
      </c>
    </row>
    <row r="149" spans="1:11" ht="12.75">
      <c r="A149" s="92">
        <v>120</v>
      </c>
      <c r="B149" s="93" t="s">
        <v>213</v>
      </c>
      <c r="C149" s="12"/>
      <c r="D149" s="12"/>
      <c r="E149" s="12"/>
      <c r="F149" s="12"/>
      <c r="G149" s="95">
        <f>113152.08*0.8</f>
        <v>90521.664</v>
      </c>
      <c r="H149" s="25">
        <v>0</v>
      </c>
      <c r="I149" s="15" t="s">
        <v>16</v>
      </c>
      <c r="J149" s="16" t="s">
        <v>22</v>
      </c>
      <c r="K149" s="17">
        <f>(G149+H149)/2</f>
        <v>45260.832</v>
      </c>
    </row>
    <row r="150" spans="1:11" ht="12.75">
      <c r="A150" s="92"/>
      <c r="B150" s="94"/>
      <c r="C150" s="13"/>
      <c r="D150" s="13"/>
      <c r="E150" s="13"/>
      <c r="F150" s="13"/>
      <c r="G150" s="96"/>
      <c r="H150" s="19"/>
      <c r="I150" s="15" t="s">
        <v>23</v>
      </c>
      <c r="J150" s="16" t="s">
        <v>30</v>
      </c>
      <c r="K150" s="17">
        <f>K149</f>
        <v>45260.832</v>
      </c>
    </row>
    <row r="151" spans="1:11" ht="12.75">
      <c r="A151" s="83">
        <v>121</v>
      </c>
      <c r="B151" s="99" t="s">
        <v>214</v>
      </c>
      <c r="C151" s="41"/>
      <c r="D151" s="41"/>
      <c r="E151" s="41"/>
      <c r="F151" s="41"/>
      <c r="G151" s="95">
        <f>74872.92*0.8</f>
        <v>59898.336</v>
      </c>
      <c r="H151" s="25">
        <v>0</v>
      </c>
      <c r="I151" s="15" t="s">
        <v>23</v>
      </c>
      <c r="J151" s="16" t="s">
        <v>24</v>
      </c>
      <c r="K151" s="17">
        <f>(G151+H151)/2</f>
        <v>29949.168</v>
      </c>
    </row>
    <row r="152" spans="1:11" ht="12.75">
      <c r="A152" s="84"/>
      <c r="B152" s="100"/>
      <c r="C152" s="42"/>
      <c r="D152" s="42"/>
      <c r="E152" s="42"/>
      <c r="F152" s="42"/>
      <c r="G152" s="96"/>
      <c r="H152" s="25"/>
      <c r="I152" s="15" t="s">
        <v>215</v>
      </c>
      <c r="J152" s="16" t="s">
        <v>27</v>
      </c>
      <c r="K152" s="17">
        <f>K151</f>
        <v>29949.168</v>
      </c>
    </row>
    <row r="153" spans="1:11" ht="12.75">
      <c r="A153" s="16">
        <v>122</v>
      </c>
      <c r="B153" s="12" t="s">
        <v>216</v>
      </c>
      <c r="C153" s="12"/>
      <c r="D153" s="12"/>
      <c r="E153" s="12"/>
      <c r="F153" s="12"/>
      <c r="G153" s="25">
        <f>75822.84*0.8</f>
        <v>60658.272</v>
      </c>
      <c r="H153" s="25">
        <v>0</v>
      </c>
      <c r="I153" s="15" t="s">
        <v>16</v>
      </c>
      <c r="J153" s="16" t="s">
        <v>217</v>
      </c>
      <c r="K153" s="17">
        <f>G153+H153</f>
        <v>60658.272</v>
      </c>
    </row>
    <row r="154" spans="1:11" ht="12.75">
      <c r="A154" s="92">
        <v>123</v>
      </c>
      <c r="B154" s="93" t="s">
        <v>218</v>
      </c>
      <c r="C154" s="12"/>
      <c r="D154" s="12"/>
      <c r="E154" s="12"/>
      <c r="F154" s="12"/>
      <c r="G154" s="95">
        <f>76605.48*0.8</f>
        <v>61284.384</v>
      </c>
      <c r="H154" s="25">
        <v>0</v>
      </c>
      <c r="I154" s="15" t="s">
        <v>16</v>
      </c>
      <c r="J154" s="16" t="s">
        <v>70</v>
      </c>
      <c r="K154" s="17">
        <f>(G154+H154)/2</f>
        <v>30642.192</v>
      </c>
    </row>
    <row r="155" spans="1:11" ht="12.75">
      <c r="A155" s="92"/>
      <c r="B155" s="97"/>
      <c r="C155" s="18"/>
      <c r="D155" s="18"/>
      <c r="E155" s="18"/>
      <c r="F155" s="18"/>
      <c r="G155" s="96"/>
      <c r="H155" s="19"/>
      <c r="I155" s="15" t="s">
        <v>23</v>
      </c>
      <c r="J155" s="16" t="s">
        <v>38</v>
      </c>
      <c r="K155" s="17">
        <f>K154</f>
        <v>30642.192</v>
      </c>
    </row>
    <row r="156" spans="1:11" ht="12.75">
      <c r="A156" s="16">
        <v>124</v>
      </c>
      <c r="B156" s="27" t="s">
        <v>219</v>
      </c>
      <c r="C156" s="27"/>
      <c r="D156" s="27"/>
      <c r="E156" s="27"/>
      <c r="F156" s="27"/>
      <c r="G156" s="28">
        <f>5179.2*0.8</f>
        <v>4143.36</v>
      </c>
      <c r="H156" s="28">
        <v>0</v>
      </c>
      <c r="I156" s="15" t="s">
        <v>74</v>
      </c>
      <c r="J156" s="16" t="s">
        <v>220</v>
      </c>
      <c r="K156" s="17">
        <f>G156+H156</f>
        <v>4143.36</v>
      </c>
    </row>
    <row r="157" spans="1:11" ht="12.75">
      <c r="A157" s="92">
        <v>125</v>
      </c>
      <c r="B157" s="93" t="s">
        <v>221</v>
      </c>
      <c r="C157" s="12"/>
      <c r="D157" s="12"/>
      <c r="E157" s="12"/>
      <c r="F157" s="12"/>
      <c r="G157" s="95">
        <f>72844.32*0.8</f>
        <v>58275.456000000006</v>
      </c>
      <c r="H157" s="25">
        <v>0</v>
      </c>
      <c r="I157" s="15" t="s">
        <v>16</v>
      </c>
      <c r="J157" s="16" t="s">
        <v>70</v>
      </c>
      <c r="K157" s="17">
        <f>(G157+H157)/2</f>
        <v>29137.728000000003</v>
      </c>
    </row>
    <row r="158" spans="1:11" ht="12.75">
      <c r="A158" s="92"/>
      <c r="B158" s="94"/>
      <c r="C158" s="13"/>
      <c r="D158" s="13"/>
      <c r="E158" s="13"/>
      <c r="F158" s="13"/>
      <c r="G158" s="96"/>
      <c r="H158" s="19"/>
      <c r="I158" s="15" t="s">
        <v>23</v>
      </c>
      <c r="J158" s="16" t="s">
        <v>24</v>
      </c>
      <c r="K158" s="17">
        <f>K157</f>
        <v>29137.728000000003</v>
      </c>
    </row>
    <row r="159" spans="1:11" ht="12.75">
      <c r="A159" s="92">
        <v>126</v>
      </c>
      <c r="B159" s="93" t="s">
        <v>222</v>
      </c>
      <c r="C159" s="12"/>
      <c r="D159" s="12"/>
      <c r="E159" s="12"/>
      <c r="F159" s="12"/>
      <c r="G159" s="95">
        <f>72402.72*0.8</f>
        <v>57922.17600000001</v>
      </c>
      <c r="H159" s="25">
        <f>60255.84*0.97-35000</f>
        <v>23448.16479999999</v>
      </c>
      <c r="I159" s="15" t="s">
        <v>223</v>
      </c>
      <c r="J159" s="16" t="s">
        <v>224</v>
      </c>
      <c r="K159" s="17">
        <f>(G159+H159)/3</f>
        <v>27123.446933333336</v>
      </c>
    </row>
    <row r="160" spans="1:11" ht="12.75">
      <c r="A160" s="92"/>
      <c r="B160" s="94"/>
      <c r="C160" s="13"/>
      <c r="D160" s="13"/>
      <c r="E160" s="13"/>
      <c r="F160" s="13"/>
      <c r="G160" s="98"/>
      <c r="H160" s="14"/>
      <c r="I160" s="15" t="s">
        <v>74</v>
      </c>
      <c r="J160" s="16" t="s">
        <v>32</v>
      </c>
      <c r="K160" s="17">
        <f>K159</f>
        <v>27123.446933333336</v>
      </c>
    </row>
    <row r="161" spans="1:11" ht="25.5">
      <c r="A161" s="92"/>
      <c r="B161" s="97"/>
      <c r="C161" s="18"/>
      <c r="D161" s="18"/>
      <c r="E161" s="18"/>
      <c r="F161" s="18"/>
      <c r="G161" s="96"/>
      <c r="H161" s="19"/>
      <c r="I161" s="15" t="s">
        <v>225</v>
      </c>
      <c r="J161" s="16" t="s">
        <v>226</v>
      </c>
      <c r="K161" s="17">
        <f>K159</f>
        <v>27123.446933333336</v>
      </c>
    </row>
    <row r="162" spans="1:11" ht="12.75">
      <c r="A162" s="83">
        <v>127</v>
      </c>
      <c r="B162" s="85" t="s">
        <v>227</v>
      </c>
      <c r="C162" s="54"/>
      <c r="D162" s="54"/>
      <c r="E162" s="54"/>
      <c r="F162" s="54"/>
      <c r="G162" s="87">
        <f>82532.88*0.8</f>
        <v>66026.304</v>
      </c>
      <c r="H162" s="21">
        <f>45394.8*0.97+12000</f>
        <v>56032.956</v>
      </c>
      <c r="I162" s="22" t="s">
        <v>41</v>
      </c>
      <c r="J162" s="23" t="s">
        <v>228</v>
      </c>
      <c r="K162" s="24">
        <f>G162+H162-28000</f>
        <v>94059.26000000001</v>
      </c>
    </row>
    <row r="163" spans="1:11" ht="12.75">
      <c r="A163" s="84"/>
      <c r="B163" s="86"/>
      <c r="C163" s="55"/>
      <c r="D163" s="55"/>
      <c r="E163" s="55"/>
      <c r="F163" s="55"/>
      <c r="G163" s="88"/>
      <c r="H163" s="21"/>
      <c r="I163" s="15" t="s">
        <v>23</v>
      </c>
      <c r="J163" s="16" t="s">
        <v>24</v>
      </c>
      <c r="K163" s="17">
        <v>28000</v>
      </c>
    </row>
    <row r="164" spans="1:11" ht="12.75">
      <c r="A164" s="16">
        <v>128</v>
      </c>
      <c r="B164" s="27" t="s">
        <v>229</v>
      </c>
      <c r="C164" s="27"/>
      <c r="D164" s="27"/>
      <c r="E164" s="27"/>
      <c r="F164" s="27"/>
      <c r="G164" s="28">
        <f>17171.28*0.8</f>
        <v>13737.024</v>
      </c>
      <c r="H164" s="28">
        <v>0</v>
      </c>
      <c r="I164" s="15" t="s">
        <v>162</v>
      </c>
      <c r="J164" s="16" t="s">
        <v>24</v>
      </c>
      <c r="K164" s="17">
        <f aca="true" t="shared" si="3" ref="K164:K170">G164+H164</f>
        <v>13737.024</v>
      </c>
    </row>
    <row r="165" spans="1:11" ht="25.5">
      <c r="A165" s="16">
        <v>129</v>
      </c>
      <c r="B165" s="27" t="s">
        <v>230</v>
      </c>
      <c r="C165" s="27"/>
      <c r="D165" s="27"/>
      <c r="E165" s="27"/>
      <c r="F165" s="27"/>
      <c r="G165" s="28">
        <f>3327*0.8</f>
        <v>2661.6000000000004</v>
      </c>
      <c r="H165" s="28">
        <v>0</v>
      </c>
      <c r="I165" s="29" t="s">
        <v>37</v>
      </c>
      <c r="J165" s="16" t="s">
        <v>38</v>
      </c>
      <c r="K165" s="17">
        <f t="shared" si="3"/>
        <v>2661.6000000000004</v>
      </c>
    </row>
    <row r="166" spans="1:11" ht="12.75">
      <c r="A166" s="16">
        <v>130</v>
      </c>
      <c r="B166" s="27" t="s">
        <v>231</v>
      </c>
      <c r="C166" s="27"/>
      <c r="D166" s="27"/>
      <c r="E166" s="27"/>
      <c r="F166" s="27"/>
      <c r="G166" s="28">
        <f>48300*0.8</f>
        <v>38640</v>
      </c>
      <c r="H166" s="28">
        <v>0</v>
      </c>
      <c r="I166" s="15" t="s">
        <v>23</v>
      </c>
      <c r="J166" s="16" t="s">
        <v>232</v>
      </c>
      <c r="K166" s="17">
        <f t="shared" si="3"/>
        <v>38640</v>
      </c>
    </row>
    <row r="167" spans="1:11" ht="12.75">
      <c r="A167" s="16">
        <v>131</v>
      </c>
      <c r="B167" s="27" t="s">
        <v>233</v>
      </c>
      <c r="C167" s="27"/>
      <c r="D167" s="27"/>
      <c r="E167" s="27"/>
      <c r="F167" s="27"/>
      <c r="G167" s="28">
        <f>6956.28*0.8</f>
        <v>5565.024</v>
      </c>
      <c r="H167" s="28">
        <v>0</v>
      </c>
      <c r="I167" s="15" t="s">
        <v>234</v>
      </c>
      <c r="J167" s="16" t="s">
        <v>38</v>
      </c>
      <c r="K167" s="17">
        <f t="shared" si="3"/>
        <v>5565.024</v>
      </c>
    </row>
    <row r="168" spans="1:11" ht="12.75">
      <c r="A168" s="16">
        <v>132</v>
      </c>
      <c r="B168" s="27" t="s">
        <v>235</v>
      </c>
      <c r="C168" s="27"/>
      <c r="D168" s="27"/>
      <c r="E168" s="27"/>
      <c r="F168" s="27"/>
      <c r="G168" s="28">
        <f>6824.88*0.8</f>
        <v>5459.904</v>
      </c>
      <c r="H168" s="28">
        <v>0</v>
      </c>
      <c r="I168" s="15" t="s">
        <v>234</v>
      </c>
      <c r="J168" s="16" t="s">
        <v>38</v>
      </c>
      <c r="K168" s="17">
        <f t="shared" si="3"/>
        <v>5459.904</v>
      </c>
    </row>
    <row r="169" spans="1:11" ht="12.75">
      <c r="A169" s="16">
        <v>133</v>
      </c>
      <c r="B169" s="27" t="s">
        <v>236</v>
      </c>
      <c r="C169" s="27"/>
      <c r="D169" s="27"/>
      <c r="E169" s="27"/>
      <c r="F169" s="27"/>
      <c r="G169" s="28">
        <f>13727.88*0.8</f>
        <v>10982.304</v>
      </c>
      <c r="H169" s="28">
        <v>0</v>
      </c>
      <c r="I169" s="15" t="s">
        <v>234</v>
      </c>
      <c r="J169" s="16" t="s">
        <v>232</v>
      </c>
      <c r="K169" s="17">
        <f t="shared" si="3"/>
        <v>10982.304</v>
      </c>
    </row>
    <row r="170" spans="1:11" ht="12.75">
      <c r="A170" s="16">
        <v>134</v>
      </c>
      <c r="B170" s="27" t="s">
        <v>237</v>
      </c>
      <c r="C170" s="27"/>
      <c r="D170" s="27"/>
      <c r="E170" s="27"/>
      <c r="F170" s="27"/>
      <c r="G170" s="28">
        <f>5303.28*0.8</f>
        <v>4242.624</v>
      </c>
      <c r="H170" s="28">
        <v>0</v>
      </c>
      <c r="I170" s="15" t="s">
        <v>162</v>
      </c>
      <c r="J170" s="16" t="s">
        <v>38</v>
      </c>
      <c r="K170" s="17">
        <f t="shared" si="3"/>
        <v>4242.624</v>
      </c>
    </row>
    <row r="171" spans="1:11" ht="12.75">
      <c r="A171" s="92">
        <v>135</v>
      </c>
      <c r="B171" s="93" t="s">
        <v>238</v>
      </c>
      <c r="C171" s="12"/>
      <c r="D171" s="12"/>
      <c r="E171" s="12"/>
      <c r="F171" s="12"/>
      <c r="G171" s="95">
        <f>51999*0.8</f>
        <v>41599.200000000004</v>
      </c>
      <c r="H171" s="25">
        <v>0</v>
      </c>
      <c r="I171" s="15" t="s">
        <v>127</v>
      </c>
      <c r="J171" s="16" t="s">
        <v>239</v>
      </c>
      <c r="K171" s="17">
        <f>(G171+H171)/2</f>
        <v>20799.600000000002</v>
      </c>
    </row>
    <row r="172" spans="1:11" ht="12.75">
      <c r="A172" s="92"/>
      <c r="B172" s="94"/>
      <c r="C172" s="13"/>
      <c r="D172" s="13"/>
      <c r="E172" s="13"/>
      <c r="F172" s="13"/>
      <c r="G172" s="96"/>
      <c r="H172" s="19"/>
      <c r="I172" s="15" t="s">
        <v>23</v>
      </c>
      <c r="J172" s="16" t="s">
        <v>24</v>
      </c>
      <c r="K172" s="17">
        <f>K171</f>
        <v>20799.600000000002</v>
      </c>
    </row>
    <row r="173" spans="1:11" ht="12.75">
      <c r="A173" s="92">
        <v>136</v>
      </c>
      <c r="B173" s="93" t="s">
        <v>240</v>
      </c>
      <c r="C173" s="12"/>
      <c r="D173" s="12"/>
      <c r="E173" s="12"/>
      <c r="F173" s="12"/>
      <c r="G173" s="95">
        <f>143629.08*0.8</f>
        <v>114903.264</v>
      </c>
      <c r="H173" s="25">
        <v>0</v>
      </c>
      <c r="I173" s="15" t="s">
        <v>74</v>
      </c>
      <c r="J173" s="16" t="s">
        <v>241</v>
      </c>
      <c r="K173" s="17">
        <f>(G173+H173)/2</f>
        <v>57451.632</v>
      </c>
    </row>
    <row r="174" spans="1:11" ht="12.75">
      <c r="A174" s="92"/>
      <c r="B174" s="94"/>
      <c r="C174" s="13"/>
      <c r="D174" s="13"/>
      <c r="E174" s="13"/>
      <c r="F174" s="13"/>
      <c r="G174" s="96"/>
      <c r="H174" s="19"/>
      <c r="I174" s="15" t="s">
        <v>23</v>
      </c>
      <c r="J174" s="16" t="s">
        <v>232</v>
      </c>
      <c r="K174" s="17">
        <f>K173</f>
        <v>57451.632</v>
      </c>
    </row>
    <row r="175" spans="1:11" ht="12.75">
      <c r="A175" s="92">
        <v>137</v>
      </c>
      <c r="B175" s="93" t="s">
        <v>242</v>
      </c>
      <c r="C175" s="12"/>
      <c r="D175" s="12"/>
      <c r="E175" s="12"/>
      <c r="F175" s="12"/>
      <c r="G175" s="95">
        <f>57933.36*0.8</f>
        <v>46346.688</v>
      </c>
      <c r="H175" s="25">
        <v>0</v>
      </c>
      <c r="I175" s="15" t="s">
        <v>127</v>
      </c>
      <c r="J175" s="16" t="s">
        <v>243</v>
      </c>
      <c r="K175" s="17">
        <f>(G175+H175)/2+4000</f>
        <v>27173.344</v>
      </c>
    </row>
    <row r="176" spans="1:11" ht="12.75">
      <c r="A176" s="92"/>
      <c r="B176" s="97"/>
      <c r="C176" s="18"/>
      <c r="D176" s="18"/>
      <c r="E176" s="18"/>
      <c r="F176" s="18"/>
      <c r="G176" s="96"/>
      <c r="H176" s="19"/>
      <c r="I176" s="15" t="s">
        <v>23</v>
      </c>
      <c r="J176" s="16" t="s">
        <v>38</v>
      </c>
      <c r="K176" s="17">
        <f>K175-8000</f>
        <v>19173.344</v>
      </c>
    </row>
    <row r="177" spans="1:11" ht="12.75">
      <c r="A177" s="92">
        <v>138</v>
      </c>
      <c r="B177" s="93" t="s">
        <v>244</v>
      </c>
      <c r="C177" s="12"/>
      <c r="D177" s="12"/>
      <c r="E177" s="12"/>
      <c r="F177" s="12"/>
      <c r="G177" s="95">
        <f>98246.88*0.8</f>
        <v>78597.50400000002</v>
      </c>
      <c r="H177" s="25">
        <v>0</v>
      </c>
      <c r="I177" s="15" t="s">
        <v>23</v>
      </c>
      <c r="J177" s="16" t="s">
        <v>232</v>
      </c>
      <c r="K177" s="17">
        <f>(G177+H177)/2</f>
        <v>39298.75200000001</v>
      </c>
    </row>
    <row r="178" spans="1:11" ht="12.75">
      <c r="A178" s="92"/>
      <c r="B178" s="97"/>
      <c r="C178" s="18"/>
      <c r="D178" s="18"/>
      <c r="E178" s="18"/>
      <c r="F178" s="18"/>
      <c r="G178" s="96"/>
      <c r="H178" s="19"/>
      <c r="I178" s="15" t="s">
        <v>74</v>
      </c>
      <c r="J178" s="16" t="s">
        <v>245</v>
      </c>
      <c r="K178" s="17">
        <f>K177</f>
        <v>39298.75200000001</v>
      </c>
    </row>
    <row r="179" spans="1:11" ht="12.75">
      <c r="A179" s="16">
        <v>139</v>
      </c>
      <c r="B179" s="27" t="s">
        <v>246</v>
      </c>
      <c r="C179" s="27"/>
      <c r="D179" s="27"/>
      <c r="E179" s="27"/>
      <c r="F179" s="27"/>
      <c r="G179" s="28">
        <f>84013.32*0.8</f>
        <v>67210.656</v>
      </c>
      <c r="H179" s="28">
        <v>0</v>
      </c>
      <c r="I179" s="15" t="s">
        <v>74</v>
      </c>
      <c r="J179" s="16" t="s">
        <v>68</v>
      </c>
      <c r="K179" s="17">
        <f>G179+H179</f>
        <v>67210.656</v>
      </c>
    </row>
    <row r="180" spans="1:11" ht="12.75">
      <c r="A180" s="92">
        <v>140</v>
      </c>
      <c r="B180" s="93" t="s">
        <v>247</v>
      </c>
      <c r="C180" s="12"/>
      <c r="D180" s="12"/>
      <c r="E180" s="12"/>
      <c r="F180" s="12"/>
      <c r="G180" s="95">
        <f>124549.08*0.8</f>
        <v>99639.26400000001</v>
      </c>
      <c r="H180" s="25">
        <v>0</v>
      </c>
      <c r="I180" s="15" t="s">
        <v>248</v>
      </c>
      <c r="J180" s="16" t="s">
        <v>249</v>
      </c>
      <c r="K180" s="17">
        <f>(G180+H180)/2</f>
        <v>49819.632000000005</v>
      </c>
    </row>
    <row r="181" spans="1:11" ht="12.75">
      <c r="A181" s="92"/>
      <c r="B181" s="94"/>
      <c r="C181" s="13"/>
      <c r="D181" s="13"/>
      <c r="E181" s="13"/>
      <c r="F181" s="13"/>
      <c r="G181" s="96"/>
      <c r="H181" s="19"/>
      <c r="I181" s="15" t="s">
        <v>250</v>
      </c>
      <c r="J181" s="16" t="s">
        <v>251</v>
      </c>
      <c r="K181" s="17">
        <f>K180</f>
        <v>49819.632000000005</v>
      </c>
    </row>
    <row r="182" spans="1:11" ht="12.75">
      <c r="A182" s="92">
        <v>141</v>
      </c>
      <c r="B182" s="93" t="s">
        <v>252</v>
      </c>
      <c r="C182" s="12"/>
      <c r="D182" s="12"/>
      <c r="E182" s="12"/>
      <c r="F182" s="12"/>
      <c r="G182" s="95">
        <f>104101.56*0.8</f>
        <v>83281.248</v>
      </c>
      <c r="H182" s="25">
        <v>0</v>
      </c>
      <c r="I182" s="15" t="s">
        <v>124</v>
      </c>
      <c r="J182" s="16" t="s">
        <v>114</v>
      </c>
      <c r="K182" s="17">
        <f>(G182+H182)/2</f>
        <v>41640.624</v>
      </c>
    </row>
    <row r="183" spans="1:11" ht="12.75">
      <c r="A183" s="92"/>
      <c r="B183" s="97"/>
      <c r="C183" s="18"/>
      <c r="D183" s="18"/>
      <c r="E183" s="18"/>
      <c r="F183" s="18"/>
      <c r="G183" s="96"/>
      <c r="H183" s="19"/>
      <c r="I183" s="15" t="s">
        <v>23</v>
      </c>
      <c r="J183" s="16" t="s">
        <v>38</v>
      </c>
      <c r="K183" s="17">
        <f>K182</f>
        <v>41640.624</v>
      </c>
    </row>
    <row r="184" spans="1:11" ht="12.75">
      <c r="A184" s="16">
        <v>142</v>
      </c>
      <c r="B184" s="20" t="s">
        <v>253</v>
      </c>
      <c r="C184" s="20"/>
      <c r="D184" s="20"/>
      <c r="E184" s="20"/>
      <c r="F184" s="20"/>
      <c r="G184" s="21">
        <f>118232.04*0.8</f>
        <v>94585.632</v>
      </c>
      <c r="H184" s="21">
        <v>0</v>
      </c>
      <c r="I184" s="22" t="s">
        <v>41</v>
      </c>
      <c r="J184" s="23" t="s">
        <v>254</v>
      </c>
      <c r="K184" s="24">
        <f>(G184+H184)</f>
        <v>94585.632</v>
      </c>
    </row>
    <row r="185" spans="1:11" ht="25.5">
      <c r="A185" s="16">
        <v>143</v>
      </c>
      <c r="B185" s="27" t="s">
        <v>255</v>
      </c>
      <c r="C185" s="27"/>
      <c r="D185" s="27"/>
      <c r="E185" s="27"/>
      <c r="F185" s="27"/>
      <c r="G185" s="28">
        <f>1333.6*0.8</f>
        <v>1066.8799999999999</v>
      </c>
      <c r="H185" s="28">
        <v>0</v>
      </c>
      <c r="I185" s="29" t="s">
        <v>37</v>
      </c>
      <c r="J185" s="16" t="s">
        <v>38</v>
      </c>
      <c r="K185" s="17">
        <f>G185+H185</f>
        <v>1066.8799999999999</v>
      </c>
    </row>
    <row r="186" spans="1:11" ht="25.5">
      <c r="A186" s="29">
        <v>144</v>
      </c>
      <c r="B186" s="56" t="s">
        <v>256</v>
      </c>
      <c r="C186" s="56"/>
      <c r="D186" s="56"/>
      <c r="E186" s="56"/>
      <c r="F186" s="56"/>
      <c r="G186" s="28">
        <f>2571.84*0.8</f>
        <v>2057.472</v>
      </c>
      <c r="H186" s="28">
        <v>0</v>
      </c>
      <c r="I186" s="29" t="s">
        <v>37</v>
      </c>
      <c r="J186" s="16" t="s">
        <v>38</v>
      </c>
      <c r="K186" s="17">
        <f>G186+H186</f>
        <v>2057.472</v>
      </c>
    </row>
    <row r="187" spans="1:11" ht="25.5">
      <c r="A187" s="16">
        <v>145</v>
      </c>
      <c r="B187" s="56" t="s">
        <v>257</v>
      </c>
      <c r="C187" s="56"/>
      <c r="D187" s="56"/>
      <c r="E187" s="56"/>
      <c r="F187" s="56"/>
      <c r="G187" s="28">
        <f>5271.48*0.8</f>
        <v>4217.184</v>
      </c>
      <c r="H187" s="28">
        <v>0</v>
      </c>
      <c r="I187" s="29" t="s">
        <v>37</v>
      </c>
      <c r="J187" s="16" t="s">
        <v>38</v>
      </c>
      <c r="K187" s="17">
        <f>G187+H187</f>
        <v>4217.184</v>
      </c>
    </row>
    <row r="188" spans="1:11" ht="12.75">
      <c r="A188" s="16">
        <v>147</v>
      </c>
      <c r="B188" s="57" t="s">
        <v>258</v>
      </c>
      <c r="C188" s="57"/>
      <c r="D188" s="57"/>
      <c r="E188" s="57"/>
      <c r="F188" s="57"/>
      <c r="G188" s="31">
        <f>5271.48*0.8</f>
        <v>4217.184</v>
      </c>
      <c r="H188" s="31">
        <f>K188-G188</f>
        <v>310782.816</v>
      </c>
      <c r="I188" s="58" t="s">
        <v>41</v>
      </c>
      <c r="J188" s="23" t="s">
        <v>259</v>
      </c>
      <c r="K188" s="24">
        <v>315000</v>
      </c>
    </row>
    <row r="189" spans="1:11" ht="25.5">
      <c r="A189" s="29">
        <v>148</v>
      </c>
      <c r="B189" s="27" t="s">
        <v>260</v>
      </c>
      <c r="C189" s="27"/>
      <c r="D189" s="27"/>
      <c r="E189" s="27"/>
      <c r="F189" s="27"/>
      <c r="G189" s="28">
        <f>3151.8*0.8</f>
        <v>2521.4400000000005</v>
      </c>
      <c r="H189" s="28">
        <v>0</v>
      </c>
      <c r="I189" s="29" t="s">
        <v>37</v>
      </c>
      <c r="J189" s="16" t="s">
        <v>24</v>
      </c>
      <c r="K189" s="17">
        <f aca="true" t="shared" si="4" ref="K189:K209">G189+H189</f>
        <v>2521.4400000000005</v>
      </c>
    </row>
    <row r="190" spans="1:11" ht="25.5">
      <c r="A190" s="16">
        <v>149</v>
      </c>
      <c r="B190" s="27" t="s">
        <v>261</v>
      </c>
      <c r="C190" s="27"/>
      <c r="D190" s="27"/>
      <c r="E190" s="27"/>
      <c r="F190" s="27"/>
      <c r="G190" s="28">
        <f>1802.16*0.8</f>
        <v>1441.728</v>
      </c>
      <c r="H190" s="28">
        <v>0</v>
      </c>
      <c r="I190" s="29" t="s">
        <v>37</v>
      </c>
      <c r="J190" s="16" t="s">
        <v>38</v>
      </c>
      <c r="K190" s="17">
        <f t="shared" si="4"/>
        <v>1441.728</v>
      </c>
    </row>
    <row r="191" spans="1:11" ht="25.5">
      <c r="A191" s="29">
        <v>150</v>
      </c>
      <c r="B191" s="27" t="s">
        <v>262</v>
      </c>
      <c r="C191" s="27"/>
      <c r="D191" s="27"/>
      <c r="E191" s="27"/>
      <c r="F191" s="27"/>
      <c r="G191" s="28">
        <f>1911.6*0.8</f>
        <v>1529.28</v>
      </c>
      <c r="H191" s="28">
        <v>0</v>
      </c>
      <c r="I191" s="29" t="s">
        <v>37</v>
      </c>
      <c r="J191" s="16" t="s">
        <v>38</v>
      </c>
      <c r="K191" s="17">
        <f t="shared" si="4"/>
        <v>1529.28</v>
      </c>
    </row>
    <row r="192" spans="1:11" ht="25.5">
      <c r="A192" s="16">
        <v>151</v>
      </c>
      <c r="B192" s="27" t="s">
        <v>263</v>
      </c>
      <c r="C192" s="27"/>
      <c r="D192" s="27"/>
      <c r="E192" s="27"/>
      <c r="F192" s="27"/>
      <c r="G192" s="28">
        <f>2790.72*0.8</f>
        <v>2232.576</v>
      </c>
      <c r="H192" s="28">
        <v>0</v>
      </c>
      <c r="I192" s="29" t="s">
        <v>37</v>
      </c>
      <c r="J192" s="16" t="s">
        <v>38</v>
      </c>
      <c r="K192" s="17">
        <f t="shared" si="4"/>
        <v>2232.576</v>
      </c>
    </row>
    <row r="193" spans="1:11" ht="25.5">
      <c r="A193" s="16">
        <v>152</v>
      </c>
      <c r="B193" s="27" t="s">
        <v>264</v>
      </c>
      <c r="C193" s="27"/>
      <c r="D193" s="27"/>
      <c r="E193" s="27"/>
      <c r="F193" s="27"/>
      <c r="G193" s="28">
        <f>14942.28*0.8</f>
        <v>11953.824</v>
      </c>
      <c r="H193" s="28">
        <v>0</v>
      </c>
      <c r="I193" s="29" t="s">
        <v>37</v>
      </c>
      <c r="J193" s="16" t="s">
        <v>38</v>
      </c>
      <c r="K193" s="17">
        <f t="shared" si="4"/>
        <v>11953.824</v>
      </c>
    </row>
    <row r="194" spans="1:11" ht="12.75">
      <c r="A194" s="83">
        <v>153</v>
      </c>
      <c r="B194" s="85" t="s">
        <v>265</v>
      </c>
      <c r="C194" s="54"/>
      <c r="D194" s="54"/>
      <c r="E194" s="54"/>
      <c r="F194" s="54"/>
      <c r="G194" s="87">
        <f>52949.28*0.8</f>
        <v>42359.424</v>
      </c>
      <c r="H194" s="21">
        <f>K194-G194</f>
        <v>342640.576</v>
      </c>
      <c r="I194" s="22" t="s">
        <v>19</v>
      </c>
      <c r="J194" s="23" t="s">
        <v>266</v>
      </c>
      <c r="K194" s="24">
        <f>430000-45000</f>
        <v>385000</v>
      </c>
    </row>
    <row r="195" spans="1:11" ht="12.75">
      <c r="A195" s="84"/>
      <c r="B195" s="86"/>
      <c r="C195" s="55"/>
      <c r="D195" s="55"/>
      <c r="E195" s="55"/>
      <c r="F195" s="55"/>
      <c r="G195" s="88"/>
      <c r="H195" s="21"/>
      <c r="I195" s="15" t="s">
        <v>23</v>
      </c>
      <c r="J195" s="16" t="s">
        <v>122</v>
      </c>
      <c r="K195" s="17">
        <v>45000</v>
      </c>
    </row>
    <row r="196" spans="1:11" ht="12.75">
      <c r="A196" s="16">
        <v>154</v>
      </c>
      <c r="B196" s="27" t="s">
        <v>267</v>
      </c>
      <c r="C196" s="27"/>
      <c r="D196" s="27"/>
      <c r="E196" s="27"/>
      <c r="F196" s="27"/>
      <c r="G196" s="28">
        <f>18466.08*0.8</f>
        <v>14772.864000000001</v>
      </c>
      <c r="H196" s="28">
        <v>0</v>
      </c>
      <c r="I196" s="15" t="s">
        <v>74</v>
      </c>
      <c r="J196" s="16" t="s">
        <v>268</v>
      </c>
      <c r="K196" s="17">
        <f t="shared" si="4"/>
        <v>14772.864000000001</v>
      </c>
    </row>
    <row r="197" spans="1:11" ht="12.75">
      <c r="A197" s="16">
        <v>155</v>
      </c>
      <c r="B197" s="12" t="s">
        <v>269</v>
      </c>
      <c r="C197" s="12"/>
      <c r="D197" s="12"/>
      <c r="E197" s="12"/>
      <c r="F197" s="12"/>
      <c r="G197" s="25">
        <f>18002.76*0.8</f>
        <v>14402.207999999999</v>
      </c>
      <c r="H197" s="25">
        <v>0</v>
      </c>
      <c r="I197" s="15" t="s">
        <v>74</v>
      </c>
      <c r="J197" s="16" t="s">
        <v>270</v>
      </c>
      <c r="K197" s="17">
        <f t="shared" si="4"/>
        <v>14402.207999999999</v>
      </c>
    </row>
    <row r="198" spans="1:11" ht="25.5">
      <c r="A198" s="16">
        <v>156</v>
      </c>
      <c r="B198" s="27" t="s">
        <v>271</v>
      </c>
      <c r="C198" s="27"/>
      <c r="D198" s="27"/>
      <c r="E198" s="27"/>
      <c r="F198" s="27"/>
      <c r="G198" s="28">
        <f>19316.16*0.8</f>
        <v>15452.928</v>
      </c>
      <c r="H198" s="28">
        <v>0</v>
      </c>
      <c r="I198" s="15" t="s">
        <v>211</v>
      </c>
      <c r="J198" s="16" t="s">
        <v>153</v>
      </c>
      <c r="K198" s="17">
        <f t="shared" si="4"/>
        <v>15452.928</v>
      </c>
    </row>
    <row r="199" spans="1:11" ht="12.75">
      <c r="A199" s="16">
        <v>157</v>
      </c>
      <c r="B199" s="32" t="s">
        <v>272</v>
      </c>
      <c r="C199" s="32"/>
      <c r="D199" s="32"/>
      <c r="E199" s="32"/>
      <c r="F199" s="32"/>
      <c r="G199" s="33">
        <f>4695*0.8</f>
        <v>3756</v>
      </c>
      <c r="H199" s="33">
        <v>0</v>
      </c>
      <c r="I199" s="37" t="s">
        <v>23</v>
      </c>
      <c r="J199" s="34" t="s">
        <v>38</v>
      </c>
      <c r="K199" s="17">
        <f t="shared" si="4"/>
        <v>3756</v>
      </c>
    </row>
    <row r="200" spans="1:11" ht="12.75">
      <c r="A200" s="16">
        <v>158</v>
      </c>
      <c r="B200" s="32" t="s">
        <v>273</v>
      </c>
      <c r="C200" s="32"/>
      <c r="D200" s="32"/>
      <c r="E200" s="32"/>
      <c r="F200" s="32"/>
      <c r="G200" s="33">
        <f>7106.16*0.8</f>
        <v>5684.928</v>
      </c>
      <c r="H200" s="33">
        <v>0</v>
      </c>
      <c r="I200" s="37" t="s">
        <v>274</v>
      </c>
      <c r="J200" s="34" t="s">
        <v>24</v>
      </c>
      <c r="K200" s="17">
        <f t="shared" si="4"/>
        <v>5684.928</v>
      </c>
    </row>
    <row r="201" spans="1:11" ht="25.5">
      <c r="A201" s="16">
        <v>159</v>
      </c>
      <c r="B201" s="32" t="s">
        <v>275</v>
      </c>
      <c r="C201" s="32"/>
      <c r="D201" s="32"/>
      <c r="E201" s="32"/>
      <c r="F201" s="32"/>
      <c r="G201" s="33">
        <f>5716.32*0.8</f>
        <v>4573.056</v>
      </c>
      <c r="H201" s="33">
        <v>0</v>
      </c>
      <c r="I201" s="29" t="s">
        <v>37</v>
      </c>
      <c r="J201" s="34" t="s">
        <v>24</v>
      </c>
      <c r="K201" s="17">
        <f t="shared" si="4"/>
        <v>4573.056</v>
      </c>
    </row>
    <row r="202" spans="1:11" ht="25.5">
      <c r="A202" s="16">
        <v>160</v>
      </c>
      <c r="B202" s="32" t="s">
        <v>276</v>
      </c>
      <c r="C202" s="32"/>
      <c r="D202" s="32"/>
      <c r="E202" s="32"/>
      <c r="F202" s="32"/>
      <c r="G202" s="33">
        <f>3746.52*0.8</f>
        <v>2997.2160000000003</v>
      </c>
      <c r="H202" s="33">
        <v>0</v>
      </c>
      <c r="I202" s="29" t="s">
        <v>37</v>
      </c>
      <c r="J202" s="34" t="s">
        <v>38</v>
      </c>
      <c r="K202" s="17">
        <f t="shared" si="4"/>
        <v>2997.2160000000003</v>
      </c>
    </row>
    <row r="203" spans="1:11" ht="25.5">
      <c r="A203" s="16">
        <v>161</v>
      </c>
      <c r="B203" s="27" t="s">
        <v>277</v>
      </c>
      <c r="C203" s="27"/>
      <c r="D203" s="27"/>
      <c r="E203" s="27"/>
      <c r="F203" s="27"/>
      <c r="G203" s="28">
        <f>2060.28*0.8</f>
        <v>1648.2240000000002</v>
      </c>
      <c r="H203" s="28">
        <v>0</v>
      </c>
      <c r="I203" s="29" t="s">
        <v>37</v>
      </c>
      <c r="J203" s="16" t="s">
        <v>38</v>
      </c>
      <c r="K203" s="17">
        <f t="shared" si="4"/>
        <v>1648.2240000000002</v>
      </c>
    </row>
    <row r="204" spans="1:11" ht="12.75">
      <c r="A204" s="16">
        <v>162</v>
      </c>
      <c r="B204" s="27" t="s">
        <v>278</v>
      </c>
      <c r="C204" s="27"/>
      <c r="D204" s="27"/>
      <c r="E204" s="27"/>
      <c r="F204" s="27"/>
      <c r="G204" s="28">
        <f>5738.28*0.8</f>
        <v>4590.624</v>
      </c>
      <c r="H204" s="28">
        <v>0</v>
      </c>
      <c r="I204" s="15" t="s">
        <v>23</v>
      </c>
      <c r="J204" s="16" t="s">
        <v>38</v>
      </c>
      <c r="K204" s="17">
        <f t="shared" si="4"/>
        <v>4590.624</v>
      </c>
    </row>
    <row r="205" spans="1:11" ht="12.75">
      <c r="A205" s="16">
        <v>163</v>
      </c>
      <c r="B205" s="59" t="s">
        <v>279</v>
      </c>
      <c r="C205" s="59"/>
      <c r="D205" s="59"/>
      <c r="E205" s="59"/>
      <c r="F205" s="59"/>
      <c r="G205" s="25">
        <f>33962.76*0.8</f>
        <v>27170.208000000002</v>
      </c>
      <c r="H205" s="25">
        <v>0</v>
      </c>
      <c r="I205" s="15" t="s">
        <v>23</v>
      </c>
      <c r="J205" s="16" t="s">
        <v>38</v>
      </c>
      <c r="K205" s="17">
        <f t="shared" si="4"/>
        <v>27170.208000000002</v>
      </c>
    </row>
    <row r="206" spans="1:11" ht="12.75">
      <c r="A206" s="16">
        <v>164</v>
      </c>
      <c r="B206" s="59" t="s">
        <v>280</v>
      </c>
      <c r="C206" s="59"/>
      <c r="D206" s="59"/>
      <c r="E206" s="59"/>
      <c r="F206" s="59"/>
      <c r="G206" s="25">
        <f>37249.68*0.8</f>
        <v>29799.744000000002</v>
      </c>
      <c r="H206" s="25">
        <v>0</v>
      </c>
      <c r="I206" s="15" t="s">
        <v>23</v>
      </c>
      <c r="J206" s="16" t="s">
        <v>232</v>
      </c>
      <c r="K206" s="17">
        <f t="shared" si="4"/>
        <v>29799.744000000002</v>
      </c>
    </row>
    <row r="207" spans="1:11" ht="25.5">
      <c r="A207" s="16">
        <v>165</v>
      </c>
      <c r="B207" s="27" t="s">
        <v>281</v>
      </c>
      <c r="C207" s="60"/>
      <c r="D207" s="60"/>
      <c r="E207" s="60"/>
      <c r="F207" s="60"/>
      <c r="G207" s="25">
        <v>0</v>
      </c>
      <c r="H207" s="25">
        <f>K207</f>
        <v>25000</v>
      </c>
      <c r="I207" s="15" t="s">
        <v>282</v>
      </c>
      <c r="J207" s="16" t="s">
        <v>188</v>
      </c>
      <c r="K207" s="17">
        <v>25000</v>
      </c>
    </row>
    <row r="208" spans="1:11" ht="12.75">
      <c r="A208" s="16">
        <v>166</v>
      </c>
      <c r="B208" s="27" t="s">
        <v>283</v>
      </c>
      <c r="C208" s="27"/>
      <c r="D208" s="27"/>
      <c r="E208" s="27"/>
      <c r="F208" s="27"/>
      <c r="G208" s="28">
        <f>7139.16*0.8</f>
        <v>5711.328</v>
      </c>
      <c r="H208" s="28">
        <v>0</v>
      </c>
      <c r="I208" s="15" t="s">
        <v>74</v>
      </c>
      <c r="J208" s="16" t="s">
        <v>188</v>
      </c>
      <c r="K208" s="17">
        <f t="shared" si="4"/>
        <v>5711.328</v>
      </c>
    </row>
    <row r="209" spans="1:11" ht="12.75">
      <c r="A209" s="16">
        <v>167</v>
      </c>
      <c r="B209" s="27" t="s">
        <v>284</v>
      </c>
      <c r="C209" s="27"/>
      <c r="D209" s="27"/>
      <c r="E209" s="27"/>
      <c r="F209" s="27"/>
      <c r="G209" s="28">
        <f>4651.2*0.8</f>
        <v>3720.96</v>
      </c>
      <c r="H209" s="28">
        <v>0</v>
      </c>
      <c r="I209" s="15" t="s">
        <v>74</v>
      </c>
      <c r="J209" s="16" t="s">
        <v>285</v>
      </c>
      <c r="K209" s="17">
        <f t="shared" si="4"/>
        <v>3720.96</v>
      </c>
    </row>
    <row r="210" spans="1:11" ht="12.75">
      <c r="A210" s="83">
        <v>168</v>
      </c>
      <c r="B210" s="85" t="s">
        <v>286</v>
      </c>
      <c r="C210" s="54"/>
      <c r="D210" s="54"/>
      <c r="E210" s="54"/>
      <c r="F210" s="54"/>
      <c r="G210" s="87">
        <v>0</v>
      </c>
      <c r="H210" s="87">
        <f>K210+K211-G210</f>
        <v>600000</v>
      </c>
      <c r="I210" s="61" t="s">
        <v>41</v>
      </c>
      <c r="J210" s="62" t="s">
        <v>287</v>
      </c>
      <c r="K210" s="24">
        <v>540000</v>
      </c>
    </row>
    <row r="211" spans="1:11" ht="25.5">
      <c r="A211" s="84"/>
      <c r="B211" s="86"/>
      <c r="C211" s="55"/>
      <c r="D211" s="55"/>
      <c r="E211" s="55"/>
      <c r="F211" s="55"/>
      <c r="G211" s="88"/>
      <c r="H211" s="88"/>
      <c r="I211" s="60" t="s">
        <v>288</v>
      </c>
      <c r="J211" s="62"/>
      <c r="K211" s="17">
        <v>60000</v>
      </c>
    </row>
    <row r="212" spans="1:11" ht="12.75">
      <c r="A212" s="83">
        <v>169</v>
      </c>
      <c r="B212" s="85" t="s">
        <v>289</v>
      </c>
      <c r="C212" s="54"/>
      <c r="D212" s="54"/>
      <c r="E212" s="54"/>
      <c r="F212" s="54"/>
      <c r="G212" s="87">
        <v>0</v>
      </c>
      <c r="H212" s="87">
        <f>K212+K213+K214-G212</f>
        <v>838110</v>
      </c>
      <c r="I212" s="61" t="s">
        <v>41</v>
      </c>
      <c r="J212" s="62" t="s">
        <v>287</v>
      </c>
      <c r="K212" s="24">
        <v>540000</v>
      </c>
    </row>
    <row r="213" spans="1:11" ht="12.75">
      <c r="A213" s="89"/>
      <c r="B213" s="90"/>
      <c r="C213" s="63"/>
      <c r="D213" s="63"/>
      <c r="E213" s="63"/>
      <c r="F213" s="63"/>
      <c r="G213" s="91"/>
      <c r="H213" s="91"/>
      <c r="I213" s="64" t="s">
        <v>26</v>
      </c>
      <c r="J213" s="26" t="s">
        <v>245</v>
      </c>
      <c r="K213" s="17">
        <f>98000+140110</f>
        <v>238110</v>
      </c>
    </row>
    <row r="214" spans="1:11" ht="25.5">
      <c r="A214" s="84"/>
      <c r="B214" s="86"/>
      <c r="C214" s="55"/>
      <c r="D214" s="55"/>
      <c r="E214" s="55"/>
      <c r="F214" s="55"/>
      <c r="G214" s="88"/>
      <c r="H214" s="88"/>
      <c r="I214" s="60" t="s">
        <v>288</v>
      </c>
      <c r="J214" s="26"/>
      <c r="K214" s="17">
        <v>60000</v>
      </c>
    </row>
    <row r="215" spans="1:11" ht="38.25">
      <c r="A215" s="83">
        <v>170</v>
      </c>
      <c r="B215" s="85" t="s">
        <v>290</v>
      </c>
      <c r="C215" s="54"/>
      <c r="D215" s="54"/>
      <c r="E215" s="54"/>
      <c r="F215" s="54"/>
      <c r="G215" s="87">
        <v>0</v>
      </c>
      <c r="H215" s="87">
        <f>K215+K216-G215</f>
        <v>302000</v>
      </c>
      <c r="I215" s="61" t="s">
        <v>291</v>
      </c>
      <c r="J215" s="62"/>
      <c r="K215" s="24">
        <f>340000-98000</f>
        <v>242000</v>
      </c>
    </row>
    <row r="216" spans="1:11" ht="25.5">
      <c r="A216" s="84"/>
      <c r="B216" s="86"/>
      <c r="C216" s="55"/>
      <c r="D216" s="55"/>
      <c r="E216" s="55"/>
      <c r="F216" s="55"/>
      <c r="G216" s="88"/>
      <c r="H216" s="88"/>
      <c r="I216" s="60" t="s">
        <v>288</v>
      </c>
      <c r="J216" s="62"/>
      <c r="K216" s="17">
        <v>60000</v>
      </c>
    </row>
    <row r="217" spans="1:11" ht="25.5">
      <c r="A217" s="26">
        <v>171</v>
      </c>
      <c r="B217" s="60" t="s">
        <v>292</v>
      </c>
      <c r="C217" s="60"/>
      <c r="D217" s="60"/>
      <c r="E217" s="60"/>
      <c r="F217" s="60"/>
      <c r="G217" s="25">
        <v>0</v>
      </c>
      <c r="H217" s="25">
        <f>K217-G217</f>
        <v>60000</v>
      </c>
      <c r="I217" s="60" t="s">
        <v>288</v>
      </c>
      <c r="J217" s="62"/>
      <c r="K217" s="17">
        <v>60000</v>
      </c>
    </row>
    <row r="218" spans="1:11" ht="25.5">
      <c r="A218" s="26">
        <v>172</v>
      </c>
      <c r="B218" s="60" t="s">
        <v>293</v>
      </c>
      <c r="C218" s="60"/>
      <c r="D218" s="60"/>
      <c r="E218" s="60"/>
      <c r="F218" s="60"/>
      <c r="G218" s="25">
        <v>0</v>
      </c>
      <c r="H218" s="25">
        <f>K218-G218</f>
        <v>60000</v>
      </c>
      <c r="I218" s="60" t="s">
        <v>288</v>
      </c>
      <c r="J218" s="62"/>
      <c r="K218" s="17">
        <v>60000</v>
      </c>
    </row>
    <row r="219" spans="1:11" ht="16.5" thickBot="1">
      <c r="A219" s="65"/>
      <c r="B219" s="66" t="s">
        <v>294</v>
      </c>
      <c r="C219" s="66"/>
      <c r="D219" s="66"/>
      <c r="E219" s="66"/>
      <c r="F219" s="66"/>
      <c r="G219" s="67">
        <f>SUM(G13:G215)</f>
        <v>3749581.632000002</v>
      </c>
      <c r="H219" s="67">
        <f>SUM(H13:H218)</f>
        <v>3293018.6152</v>
      </c>
      <c r="I219" s="68"/>
      <c r="J219" s="69"/>
      <c r="K219" s="70">
        <f>G219+H219</f>
        <v>7042600.247200002</v>
      </c>
    </row>
    <row r="221" ht="12.75">
      <c r="I221" s="71"/>
    </row>
    <row r="222" spans="1:11" ht="12.75">
      <c r="A222" s="81"/>
      <c r="B222" s="81"/>
      <c r="C222" s="81"/>
      <c r="D222" s="81"/>
      <c r="E222" s="81"/>
      <c r="F222" s="81"/>
      <c r="G222" s="81"/>
      <c r="H222" s="81"/>
      <c r="I222" s="80"/>
      <c r="J222" s="82"/>
      <c r="K222" s="82"/>
    </row>
  </sheetData>
  <mergeCells count="123">
    <mergeCell ref="A1:H1"/>
    <mergeCell ref="I1:K1"/>
    <mergeCell ref="A2:H2"/>
    <mergeCell ref="I2:K2"/>
    <mergeCell ref="A3:H3"/>
    <mergeCell ref="I3:K3"/>
    <mergeCell ref="I4:K4"/>
    <mergeCell ref="A5:G5"/>
    <mergeCell ref="I5:K5"/>
    <mergeCell ref="B6:K6"/>
    <mergeCell ref="A7:K7"/>
    <mergeCell ref="A8:K8"/>
    <mergeCell ref="A10:A11"/>
    <mergeCell ref="B10:B11"/>
    <mergeCell ref="G10:H10"/>
    <mergeCell ref="I10:K10"/>
    <mergeCell ref="A12:K12"/>
    <mergeCell ref="A13:A14"/>
    <mergeCell ref="B13:B14"/>
    <mergeCell ref="G13:G14"/>
    <mergeCell ref="A16:A17"/>
    <mergeCell ref="B16:B17"/>
    <mergeCell ref="G16:G17"/>
    <mergeCell ref="A18:A19"/>
    <mergeCell ref="B18:B19"/>
    <mergeCell ref="G18:G19"/>
    <mergeCell ref="A20:A21"/>
    <mergeCell ref="B20:B21"/>
    <mergeCell ref="G20:G21"/>
    <mergeCell ref="A40:A41"/>
    <mergeCell ref="B40:B41"/>
    <mergeCell ref="G40:G41"/>
    <mergeCell ref="A42:A43"/>
    <mergeCell ref="B42:B43"/>
    <mergeCell ref="G42:G43"/>
    <mergeCell ref="A44:A45"/>
    <mergeCell ref="B44:B45"/>
    <mergeCell ref="G44:G45"/>
    <mergeCell ref="A46:A47"/>
    <mergeCell ref="B46:B47"/>
    <mergeCell ref="G46:G47"/>
    <mergeCell ref="A48:A49"/>
    <mergeCell ref="B48:B49"/>
    <mergeCell ref="G48:G49"/>
    <mergeCell ref="A50:A51"/>
    <mergeCell ref="B50:B51"/>
    <mergeCell ref="G50:G51"/>
    <mergeCell ref="A52:A53"/>
    <mergeCell ref="B52:B53"/>
    <mergeCell ref="G52:G53"/>
    <mergeCell ref="A56:A57"/>
    <mergeCell ref="B56:B57"/>
    <mergeCell ref="G56:G57"/>
    <mergeCell ref="A87:A88"/>
    <mergeCell ref="B87:B88"/>
    <mergeCell ref="G87:G88"/>
    <mergeCell ref="A91:A92"/>
    <mergeCell ref="B91:B92"/>
    <mergeCell ref="G91:G92"/>
    <mergeCell ref="A93:A94"/>
    <mergeCell ref="B93:B94"/>
    <mergeCell ref="G93:G94"/>
    <mergeCell ref="A116:A117"/>
    <mergeCell ref="B116:B117"/>
    <mergeCell ref="G116:G117"/>
    <mergeCell ref="H116:H117"/>
    <mergeCell ref="A147:A148"/>
    <mergeCell ref="B147:B148"/>
    <mergeCell ref="G147:G148"/>
    <mergeCell ref="H147:H148"/>
    <mergeCell ref="A149:A150"/>
    <mergeCell ref="B149:B150"/>
    <mergeCell ref="G149:G150"/>
    <mergeCell ref="A151:A152"/>
    <mergeCell ref="B151:B152"/>
    <mergeCell ref="G151:G152"/>
    <mergeCell ref="A154:A155"/>
    <mergeCell ref="B154:B155"/>
    <mergeCell ref="G154:G155"/>
    <mergeCell ref="A157:A158"/>
    <mergeCell ref="B157:B158"/>
    <mergeCell ref="G157:G158"/>
    <mergeCell ref="A159:A161"/>
    <mergeCell ref="B159:B161"/>
    <mergeCell ref="G159:G161"/>
    <mergeCell ref="A162:A163"/>
    <mergeCell ref="B162:B163"/>
    <mergeCell ref="G162:G163"/>
    <mergeCell ref="A171:A172"/>
    <mergeCell ref="B171:B172"/>
    <mergeCell ref="G171:G172"/>
    <mergeCell ref="A173:A174"/>
    <mergeCell ref="B173:B174"/>
    <mergeCell ref="G173:G174"/>
    <mergeCell ref="A175:A176"/>
    <mergeCell ref="B175:B176"/>
    <mergeCell ref="G175:G176"/>
    <mergeCell ref="A177:A178"/>
    <mergeCell ref="B177:B178"/>
    <mergeCell ref="G177:G178"/>
    <mergeCell ref="A180:A181"/>
    <mergeCell ref="B180:B181"/>
    <mergeCell ref="G180:G181"/>
    <mergeCell ref="A182:A183"/>
    <mergeCell ref="B182:B183"/>
    <mergeCell ref="G182:G183"/>
    <mergeCell ref="A194:A195"/>
    <mergeCell ref="B194:B195"/>
    <mergeCell ref="G194:G195"/>
    <mergeCell ref="A210:A211"/>
    <mergeCell ref="B210:B211"/>
    <mergeCell ref="G210:G211"/>
    <mergeCell ref="H210:H211"/>
    <mergeCell ref="A212:A214"/>
    <mergeCell ref="B212:B214"/>
    <mergeCell ref="G212:G214"/>
    <mergeCell ref="H212:H214"/>
    <mergeCell ref="A222:H222"/>
    <mergeCell ref="J222:K222"/>
    <mergeCell ref="A215:A216"/>
    <mergeCell ref="B215:B216"/>
    <mergeCell ref="G215:G216"/>
    <mergeCell ref="H215:H2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Personal</cp:lastModifiedBy>
  <cp:lastPrinted>2008-04-24T12:34:46Z</cp:lastPrinted>
  <dcterms:created xsi:type="dcterms:W3CDTF">1996-10-08T23:32:33Z</dcterms:created>
  <dcterms:modified xsi:type="dcterms:W3CDTF">2008-04-24T12:35:41Z</dcterms:modified>
  <cp:category/>
  <cp:version/>
  <cp:contentType/>
  <cp:contentStatus/>
</cp:coreProperties>
</file>